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985" tabRatio="938" activeTab="0"/>
  </bookViews>
  <sheets>
    <sheet name="GOBERNANZA" sheetId="1" r:id="rId1"/>
    <sheet name="DESARROLLO HUM" sheetId="2" r:id="rId2"/>
    <sheet name="POLITICA HACENDARIA" sheetId="3" r:id="rId3"/>
    <sheet name="INFRAE CALIDAD E IMAGEN" sheetId="4" r:id="rId4"/>
    <sheet name="JUBILADOS" sheetId="5" r:id="rId5"/>
    <sheet name="EXCELENCIA SERV MPALES" sheetId="6" r:id="rId6"/>
    <sheet name="CIUDAD SEG" sheetId="7" r:id="rId7"/>
  </sheets>
  <definedNames>
    <definedName name="_xlnm._FilterDatabase" localSheetId="6" hidden="1">'CIUDAD SEG'!$A$27:$N$197</definedName>
    <definedName name="_xlfn.AGGREGATE" hidden="1">#NAME?</definedName>
    <definedName name="_xlnm.Print_Area" localSheetId="1">'DESARROLLO HUM'!$B$1:$N$53</definedName>
    <definedName name="_xlnm.Print_Area" localSheetId="0">'GOBERNANZA'!$A$1:$M$87</definedName>
    <definedName name="_xlnm.Print_Area" localSheetId="2">'POLITICA HACENDARIA'!$A$1:$M$76</definedName>
  </definedNames>
  <calcPr fullCalcOnLoad="1"/>
</workbook>
</file>

<file path=xl/sharedStrings.xml><?xml version="1.0" encoding="utf-8"?>
<sst xmlns="http://schemas.openxmlformats.org/spreadsheetml/2006/main" count="3243" uniqueCount="286">
  <si>
    <t>DESARROLLO SOCIAL</t>
  </si>
  <si>
    <t>TURISMO</t>
  </si>
  <si>
    <t>San Juan de los Lagos, Jalisco.</t>
  </si>
  <si>
    <t>Nombre de la plaza</t>
  </si>
  <si>
    <t>Adscripción de la plaza</t>
  </si>
  <si>
    <t>NOMBRE</t>
  </si>
  <si>
    <t>Jornada</t>
  </si>
  <si>
    <t xml:space="preserve"> Categoría</t>
  </si>
  <si>
    <t>Origen</t>
  </si>
  <si>
    <t>No. de Plazas</t>
  </si>
  <si>
    <t>Individual Mensual</t>
  </si>
  <si>
    <t>Individual Anual</t>
  </si>
  <si>
    <t>Meses</t>
  </si>
  <si>
    <t>Aguinaldo                   (132)</t>
  </si>
  <si>
    <t>Compensaciones (134)</t>
  </si>
  <si>
    <t>TOTAL ANUAL          (111, 113)</t>
  </si>
  <si>
    <t>Gobernanza Municipal</t>
  </si>
  <si>
    <t>REGIDOR</t>
  </si>
  <si>
    <t>SALA DE REGIDORES</t>
  </si>
  <si>
    <t>C</t>
  </si>
  <si>
    <t>P</t>
  </si>
  <si>
    <t>SINDICO</t>
  </si>
  <si>
    <t>SINDICATURA</t>
  </si>
  <si>
    <t>PRESIDENTE MUNICIPAL</t>
  </si>
  <si>
    <t>PRESIDENCIA</t>
  </si>
  <si>
    <t>SECRETARIO PARTICULAR</t>
  </si>
  <si>
    <t>SECRERARIA A</t>
  </si>
  <si>
    <t>B</t>
  </si>
  <si>
    <t>SECRETARIA B</t>
  </si>
  <si>
    <t>SECRETARIA</t>
  </si>
  <si>
    <t>MENSAJERO</t>
  </si>
  <si>
    <t>JUEZ CALIFICADOR AUXILIAR</t>
  </si>
  <si>
    <t>SERVIDOR PUBLICO ENCARGADO DE LA SECRETARIA DE AYUNTAMIENTO</t>
  </si>
  <si>
    <t>SECRETARIA DEL AYUNTAMIENTO</t>
  </si>
  <si>
    <t>SECRETARIA C</t>
  </si>
  <si>
    <t>SECRETARIA ARCHIVO MUNICIPAL</t>
  </si>
  <si>
    <t>OFICIAL MAYOR</t>
  </si>
  <si>
    <t>OFICIALIA MAYOR</t>
  </si>
  <si>
    <t>DIRECTOR</t>
  </si>
  <si>
    <t>RELACIONES PUBLICAS Y COM SOCIAL</t>
  </si>
  <si>
    <t>JEFE DE DISENO</t>
  </si>
  <si>
    <t>SECRETARIO</t>
  </si>
  <si>
    <t>AUXILIAR A</t>
  </si>
  <si>
    <t>Subtotal</t>
  </si>
  <si>
    <t>Eventuales Gobernanza Municipal</t>
  </si>
  <si>
    <t>E</t>
  </si>
  <si>
    <t>INTENDENTE</t>
  </si>
  <si>
    <t>TOTAL</t>
  </si>
  <si>
    <t>Desarrollo Humano y Social Sustentable.</t>
  </si>
  <si>
    <t>PROMOCION ECONOMICA</t>
  </si>
  <si>
    <t>DIRECCION DE GESTORIA Y PROMOCION ECONOMICA</t>
  </si>
  <si>
    <t>UNIDAD MUNICIPAL DE TRANSPARENCIA</t>
  </si>
  <si>
    <t>SUB-DIRECTOR</t>
  </si>
  <si>
    <t>AUXILIAR</t>
  </si>
  <si>
    <t>TITULAR INST. MPAL. DE LA MUJER</t>
  </si>
  <si>
    <t>INST. MPAL. DE LA MUJER</t>
  </si>
  <si>
    <t>ENCARGADO</t>
  </si>
  <si>
    <t>ATENCION CIUDADANA</t>
  </si>
  <si>
    <t>JEFE OFICIAL DEL REGISTRO CIVIL</t>
  </si>
  <si>
    <t>REGISTRO CIVIL</t>
  </si>
  <si>
    <t>EDUCACION PUBLICA MUNICIPAL</t>
  </si>
  <si>
    <t xml:space="preserve">DIRECTOR </t>
  </si>
  <si>
    <t>CASA DE LA CULTURA</t>
  </si>
  <si>
    <t>PARTICIPACION CIUDADANA</t>
  </si>
  <si>
    <t>DEP. DEPORTES</t>
  </si>
  <si>
    <t>PROMOTOR</t>
  </si>
  <si>
    <t>DESARROLLO RURAL Y FOMENTO AGROPECUARIO</t>
  </si>
  <si>
    <t>DELEGADO</t>
  </si>
  <si>
    <t>DELEGACIONES</t>
  </si>
  <si>
    <t>Eventuales Desarrollo Humano y Social Sustentable</t>
  </si>
  <si>
    <t>AUX. INTENDENTE</t>
  </si>
  <si>
    <t xml:space="preserve">AUXILIAR </t>
  </si>
  <si>
    <t xml:space="preserve">SECRETARIA </t>
  </si>
  <si>
    <t>DELEGACION DE MEZQUITIC</t>
  </si>
  <si>
    <t>VELADOR</t>
  </si>
  <si>
    <t>CAMPO DEPORTIVO</t>
  </si>
  <si>
    <t>Política Hacendaria Municipal.</t>
  </si>
  <si>
    <t>FUN. ENC. DE LA HACINDA MUNICIPAL</t>
  </si>
  <si>
    <t>HACIENDA MPAL.</t>
  </si>
  <si>
    <t>AUX. DE ENC. DE LA HACIENDA MUNICIPAL</t>
  </si>
  <si>
    <t>CONTRALOR</t>
  </si>
  <si>
    <t>CONTRALORIA</t>
  </si>
  <si>
    <t>OFICIALIA MAYOR DE PADRON Y LICENCIAS</t>
  </si>
  <si>
    <t>INSPECTOR</t>
  </si>
  <si>
    <t>COMERCIO</t>
  </si>
  <si>
    <t>JEFA DE CAJAS</t>
  </si>
  <si>
    <t>DEP. INGRESOS</t>
  </si>
  <si>
    <t>AUXILIAR DE CAJAS</t>
  </si>
  <si>
    <t>JEFE</t>
  </si>
  <si>
    <t>APREMIOS</t>
  </si>
  <si>
    <t>NOTIFICADOR, VERIFICADOR Y EJECUTOR FISCAL</t>
  </si>
  <si>
    <t xml:space="preserve"> </t>
  </si>
  <si>
    <t>ENCARGADO DE CUENTA PUBLICA</t>
  </si>
  <si>
    <t>ENCARGADO DE PAGOS</t>
  </si>
  <si>
    <t>ENCARGADO DE PATRIMONIO MUNICIPAL</t>
  </si>
  <si>
    <t>ENCARGADO DE INGENIERIA EN TECNOLOGIAS DE LA INFORMACION Y COMUNICACIONES (SOFTWARE)</t>
  </si>
  <si>
    <t>DEP. COMPUTO E INFORMATICA</t>
  </si>
  <si>
    <t>ENCARGADO DE MANTENIMIENTO HARDWARE</t>
  </si>
  <si>
    <t>IMP. PREDIAL Y CATASTRO</t>
  </si>
  <si>
    <t>ENCARGADA RECAUDACION</t>
  </si>
  <si>
    <t>AUX. TECNICO</t>
  </si>
  <si>
    <t>AUX. ADMINISTRATIVO</t>
  </si>
  <si>
    <t>Eventuales Política Hacendaria Municipal</t>
  </si>
  <si>
    <t>IMPUESTO PREDIAL Y CATASTRO</t>
  </si>
  <si>
    <t>AUXILIAR ADMINISTRATIVO</t>
  </si>
  <si>
    <t>AUXILIAR TECNICO</t>
  </si>
  <si>
    <t>PADRON Y LIC.</t>
  </si>
  <si>
    <t>AUX. CAJERO</t>
  </si>
  <si>
    <t>Infraestructura de Calidad e Imagen Turística</t>
  </si>
  <si>
    <t>OBRAS PUBLICAS</t>
  </si>
  <si>
    <t>COPLADEMUN</t>
  </si>
  <si>
    <t>ENCARGADA DE PAGOS</t>
  </si>
  <si>
    <t>CHOFER</t>
  </si>
  <si>
    <t>TOPOGRAFO</t>
  </si>
  <si>
    <t>PROYECTOS</t>
  </si>
  <si>
    <t>SUPERVISOR OBRA B</t>
  </si>
  <si>
    <t>ENC. DE CUADRILLA</t>
  </si>
  <si>
    <t>CONSTRUCCION</t>
  </si>
  <si>
    <t>OPERADOR DE MAQUINA</t>
  </si>
  <si>
    <t>ALBAÑIL</t>
  </si>
  <si>
    <t>PEON</t>
  </si>
  <si>
    <t>CALIFICADOR DE OBRA</t>
  </si>
  <si>
    <t>CALIFICACIÓN DE OBRAS</t>
  </si>
  <si>
    <t>DIRECCION DE PLANEACIÓN URBANA MUNICIPAL</t>
  </si>
  <si>
    <t>Eventuales Infraestructura de Calidad e Imagen Turística</t>
  </si>
  <si>
    <t>AUX. DE PLANEACION</t>
  </si>
  <si>
    <t>PLANEACION Y URBANIZACION</t>
  </si>
  <si>
    <t>OFICIAL ALBAÑIL</t>
  </si>
  <si>
    <t>OP. MAQUINARIA</t>
  </si>
  <si>
    <t>Excelencia en Servicios Municipales.</t>
  </si>
  <si>
    <t>JEFE DE MANTENIMIENTO</t>
  </si>
  <si>
    <t>MANTENIMIENTO DE LOS VEHICULOS MUNICIPALES</t>
  </si>
  <si>
    <t>ENCARGADO DE MECANICOS</t>
  </si>
  <si>
    <t>JEFE ADMINISTRADOR</t>
  </si>
  <si>
    <t>CEMENTERIOS</t>
  </si>
  <si>
    <t>RASTRO</t>
  </si>
  <si>
    <t>JEFE OPERATIVO</t>
  </si>
  <si>
    <t>ESTIBADOR</t>
  </si>
  <si>
    <t>MERCADOS</t>
  </si>
  <si>
    <t>ASEO PUBLICO</t>
  </si>
  <si>
    <t>ASEADOR</t>
  </si>
  <si>
    <t>ASEO PUBLICO, PARQUES Y JARDINES</t>
  </si>
  <si>
    <t>BARRENDERO</t>
  </si>
  <si>
    <t>ECOLOGIA, PARQUES Y JARDINES</t>
  </si>
  <si>
    <t>JARDINERO</t>
  </si>
  <si>
    <t>PARQUES Y JARDINES</t>
  </si>
  <si>
    <t>ALUMBRADO PUBLICO</t>
  </si>
  <si>
    <t>ELECTRICISTA</t>
  </si>
  <si>
    <t>FONTANERO</t>
  </si>
  <si>
    <t>SERVICIO MEDICO</t>
  </si>
  <si>
    <t>MEDICO</t>
  </si>
  <si>
    <t>BOMBERO</t>
  </si>
  <si>
    <t>Eventuales: Excelencia en Servicios Municipales</t>
  </si>
  <si>
    <t>MERCADO MUNICIPAL</t>
  </si>
  <si>
    <t>AUX. DE SERVICIOS</t>
  </si>
  <si>
    <t>AGUA POTABLE</t>
  </si>
  <si>
    <t xml:space="preserve">CUADRILLA </t>
  </si>
  <si>
    <t>OPERADOR DE REBOMBEO</t>
  </si>
  <si>
    <t>RASTRO MUNICIPAL</t>
  </si>
  <si>
    <t>SERVICIOS MUNICIPALES</t>
  </si>
  <si>
    <t>ENCARGADO DE LA FUENTE</t>
  </si>
  <si>
    <t xml:space="preserve">Ciudad Segura </t>
  </si>
  <si>
    <t>SEGURIDAD PUBLICA Y TRANSITO MUNICIPAL</t>
  </si>
  <si>
    <t>VIALIDAD Y TRANSITO MUNICIPAL</t>
  </si>
  <si>
    <t>Eventuales Ciudad Segura</t>
  </si>
  <si>
    <t>SEGURIDAD PUBLICA</t>
  </si>
  <si>
    <t>COCINERA</t>
  </si>
  <si>
    <t>PROTECCION CIVIL Y BOMBEROS</t>
  </si>
  <si>
    <t>SEGURIDAD</t>
  </si>
  <si>
    <t xml:space="preserve">ASESOR JURIDICO </t>
  </si>
  <si>
    <t xml:space="preserve">SECRETARIO TECNICO DE COMISIONES </t>
  </si>
  <si>
    <t xml:space="preserve">JUEZ CALIFICADOR TITULAR </t>
  </si>
  <si>
    <t xml:space="preserve">ENCARGADO DE COMUSIDA </t>
  </si>
  <si>
    <t>COMUSIDA</t>
  </si>
  <si>
    <t>JEFE DE INSPECCION AGRICOLA Y GANADERA</t>
  </si>
  <si>
    <t xml:space="preserve">VETERINARIO RASTRO </t>
  </si>
  <si>
    <t xml:space="preserve">JEFE ADMINISTRADOR DE MERCADOS </t>
  </si>
  <si>
    <t xml:space="preserve">JEFE DE ASEO PUBLICO </t>
  </si>
  <si>
    <t xml:space="preserve">SUB JEFE DE ASEO PUBLICO </t>
  </si>
  <si>
    <t xml:space="preserve">MEDICO </t>
  </si>
  <si>
    <t xml:space="preserve">ENCARGADO DEL AREA DE INVESTIGACION </t>
  </si>
  <si>
    <t xml:space="preserve">CORDINADOR ADMINISTRATIVO </t>
  </si>
  <si>
    <t>DIRECTOR DE PADRON Y LICENCIAS</t>
  </si>
  <si>
    <t xml:space="preserve">AUXILIAR DE BIBLIOTECA MUNICIPAL </t>
  </si>
  <si>
    <t xml:space="preserve">BIBLIOTECA MUNICIPAL </t>
  </si>
  <si>
    <t xml:space="preserve">INTENDENTE SECRETARIA GENERAL </t>
  </si>
  <si>
    <t xml:space="preserve">SECRETARIO DE REGISTO </t>
  </si>
  <si>
    <t>SECRETARIA DE CEMENTERIOS</t>
  </si>
  <si>
    <t xml:space="preserve">AUXILIAR DE SERVICIOS MERCADO MPAL </t>
  </si>
  <si>
    <t xml:space="preserve">SECRETARIA DE PADRON Y LICENCIAS </t>
  </si>
  <si>
    <t xml:space="preserve">SECRETARIA DE IMPUESTO PREDIAL </t>
  </si>
  <si>
    <t>DIR. MPAL. DE TRANSPARENCIA</t>
  </si>
  <si>
    <t>COCINERA COM. COMUNITARIO</t>
  </si>
  <si>
    <t>AUXILIAR DE SERVICIOS</t>
  </si>
  <si>
    <t>PROVEEDURIA</t>
  </si>
  <si>
    <t xml:space="preserve">AUXILIAR DE INTENDENCIA </t>
  </si>
  <si>
    <t>INSPECTOR DE CAMINOS</t>
  </si>
  <si>
    <t>CAMINOS RURAES</t>
  </si>
  <si>
    <t>DIBUJANTE DE PROYECTOS</t>
  </si>
  <si>
    <t xml:space="preserve">CHOFER </t>
  </si>
  <si>
    <t>INSPECCION DE CAMINOS</t>
  </si>
  <si>
    <t>AUX. AGUA POTABLE</t>
  </si>
  <si>
    <t>CAJERO</t>
  </si>
  <si>
    <t>AUXILIAR DE MANTENIMIENTO DE VEHICULOS</t>
  </si>
  <si>
    <t>ENC. DE PARQUES DE RECREACION</t>
  </si>
  <si>
    <t>AUXILIAR PROVEEDURIA</t>
  </si>
  <si>
    <t>JEFE DE MAQUINARIA PESADA</t>
  </si>
  <si>
    <t>VIGILANTE</t>
  </si>
  <si>
    <t>COORDINADOR DE PROFESIONALIZACION</t>
  </si>
  <si>
    <t>COMANDANTE OPERATIVO DE TRANSITO Y VIALIDAD</t>
  </si>
  <si>
    <t>POLICIA</t>
  </si>
  <si>
    <t>POLICIA PRIMERO</t>
  </si>
  <si>
    <t>POLICIA SEGUNDO</t>
  </si>
  <si>
    <t>POLICIA TERCERO</t>
  </si>
  <si>
    <t>JUBILADO</t>
  </si>
  <si>
    <t>DIRECTOR MEDICO</t>
  </si>
  <si>
    <t>SUB-JEFE</t>
  </si>
  <si>
    <t>SUB-DIRECTOR DE PROYECTOS</t>
  </si>
  <si>
    <t>COORDINADOR GENERAL DE DIRECCIONES</t>
  </si>
  <si>
    <t>SUB-ENCARGADO</t>
  </si>
  <si>
    <t>ASISTENTE JURIDICO</t>
  </si>
  <si>
    <t>JEFE DE INFORMACION Y CONTENIDO</t>
  </si>
  <si>
    <t xml:space="preserve">SUB-JEFE </t>
  </si>
  <si>
    <t>POLIA TURISTICA</t>
  </si>
  <si>
    <t xml:space="preserve">CENTRO DE ATENCION Y FORMACION PRIORITARIO </t>
  </si>
  <si>
    <t xml:space="preserve">CORDINADOR JURIDICO CENTRO DE ATENCION Y FORMACION PRIORITARIO </t>
  </si>
  <si>
    <t xml:space="preserve">DIRECTOR DE PATRIMONIO MUNICIPAL </t>
  </si>
  <si>
    <t xml:space="preserve">SUB DIRECTOR </t>
  </si>
  <si>
    <t xml:space="preserve">GUARDA RASTRO EXTERNO </t>
  </si>
  <si>
    <t xml:space="preserve">GUARDA RASTRO INTERNO </t>
  </si>
  <si>
    <t xml:space="preserve">CORDINADOR DE POLICIA CRIMINAL </t>
  </si>
  <si>
    <t xml:space="preserve">CORDINADOR DE PLANEACION Y ESTADISTICA </t>
  </si>
  <si>
    <t xml:space="preserve">SERVICIO MEDICO SEGURIDAD PUBLICA </t>
  </si>
  <si>
    <t xml:space="preserve">AUXILIAR CCA </t>
  </si>
  <si>
    <t>CAPTURADOR CCA</t>
  </si>
  <si>
    <t xml:space="preserve">CAJERA </t>
  </si>
  <si>
    <t>SUPERVISOR OBRA A</t>
  </si>
  <si>
    <t>AUXILIAR DE EDUCACION</t>
  </si>
  <si>
    <t>COORDINADOR JURIDICO</t>
  </si>
  <si>
    <t>COORDINADOR TECNICO</t>
  </si>
  <si>
    <t>DIRECTORA</t>
  </si>
  <si>
    <t xml:space="preserve">MEDIO AMBIENTE Y ECOLOGIA </t>
  </si>
  <si>
    <t xml:space="preserve">SUB-DIRECTOR  OPERATIVO </t>
  </si>
  <si>
    <t>COORDINADOR OPERATIVO</t>
  </si>
  <si>
    <t>APOYO VIAL</t>
  </si>
  <si>
    <t>SOLDADOR MANTENIMIENTO DE VEHICULOS</t>
  </si>
  <si>
    <t>SUB-DIRECTOR EDUACACION MUNICIPÀL</t>
  </si>
  <si>
    <t>Plantilla de personal Presupuesto 2023</t>
  </si>
  <si>
    <t>Plantilla de personal presupuesto 2023</t>
  </si>
  <si>
    <t xml:space="preserve">CHOFER DE OBRAS </t>
  </si>
  <si>
    <t xml:space="preserve">OFICIAL ALBAÑIL </t>
  </si>
  <si>
    <t xml:space="preserve">PEON ALBAÑIL </t>
  </si>
  <si>
    <t xml:space="preserve">JUEZ CALIFICADOR AUXILIAR </t>
  </si>
  <si>
    <t xml:space="preserve">AUXILIAR SERVICIOS MUNICIPALES </t>
  </si>
  <si>
    <t>INTENDENTE SECRETARIA GENERAL</t>
  </si>
  <si>
    <t xml:space="preserve">MENSAJERO </t>
  </si>
  <si>
    <t xml:space="preserve">AUXILIAR   </t>
  </si>
  <si>
    <t xml:space="preserve">ENC ESTA. VASO DE LA PRESA </t>
  </si>
  <si>
    <t xml:space="preserve">ENC ESTACIONAMIENTO PLAZA JUAREZ </t>
  </si>
  <si>
    <t xml:space="preserve">SECRETARI DE ARCHIVO MUNICIPAL </t>
  </si>
  <si>
    <t xml:space="preserve">AUXILIAR EN LOS SERVICIOS MUNICIPALES </t>
  </si>
  <si>
    <t>JEFE DE DEPORTES</t>
  </si>
  <si>
    <t xml:space="preserve">SUB DIRECTOR DE DESARROLLO SOCIAL </t>
  </si>
  <si>
    <t xml:space="preserve">DESARROLLO SOCIAL </t>
  </si>
  <si>
    <t xml:space="preserve">SECRETARIA DE REGISTRO CIVIL </t>
  </si>
  <si>
    <t xml:space="preserve">AUXILIAR HDA MPAL </t>
  </si>
  <si>
    <t xml:space="preserve">AUXILIAR DE PADRON Y LICENCIAS </t>
  </si>
  <si>
    <t>SUPERVISOR DE OBRAS PUBLICAS</t>
  </si>
  <si>
    <t xml:space="preserve">AUXILIAR DE ASEO PUBLICO </t>
  </si>
  <si>
    <t xml:space="preserve">CHOFER RASTRO MUNICIPAL </t>
  </si>
  <si>
    <t xml:space="preserve">ASEADOR </t>
  </si>
  <si>
    <t xml:space="preserve">CHOFER DE ASEO PUBLICO </t>
  </si>
  <si>
    <t xml:space="preserve">BARRENDERO DE ASEO PUBLICO </t>
  </si>
  <si>
    <t xml:space="preserve">AUXILIAR DE MANTENIMIENTO DE VEHICULOS </t>
  </si>
  <si>
    <t xml:space="preserve">MANTENIMIETO DE LOS VEHICULOS </t>
  </si>
  <si>
    <t xml:space="preserve">PREFESIONISTA EN EL AREA DEL CCA </t>
  </si>
  <si>
    <t xml:space="preserve">APOYO VIAL </t>
  </si>
  <si>
    <t xml:space="preserve">POLICIA </t>
  </si>
  <si>
    <t xml:space="preserve">COMANDANTE   </t>
  </si>
  <si>
    <t xml:space="preserve">JEFE DE PROTECCION CIVIL </t>
  </si>
  <si>
    <t>ENC. DE NOMINA</t>
  </si>
  <si>
    <t>COMPUTACION E INFORMATICA</t>
  </si>
  <si>
    <t>ENC. DEL C.C.A. (PROFESIONISTA ESPECIALIZADO DEL CCA)</t>
  </si>
  <si>
    <t>|</t>
  </si>
  <si>
    <t xml:space="preserve">POLICIA   </t>
  </si>
  <si>
    <t>ENC. DE PREVENCION SOCIAL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</si>
</sst>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000"/>
    <numFmt numFmtId="166" formatCode="0000"/>
    <numFmt numFmtId="167" formatCode="00"/>
    <numFmt numFmtId="168" formatCode="_-[$€]* #,##0.00_-;\-[$€]* #,##0.00_-;_-[$€]* &quot;-&quot;??_-;_-@_-"/>
    <numFmt numFmtId="169" formatCode="_-&quot;$&quot;* #,##0_-;\-&quot;$&quot;* #,##0_-;_-&quot;$&quot;* &quot;-&quot;??_-;_-@_-"/>
    <numFmt numFmtId="170" formatCode="0_ ;\-0\ "/>
    <numFmt numFmtId="171" formatCode="#,##0_ ;\-#,##0\ "/>
    <numFmt numFmtId="172" formatCode="0."/>
    <numFmt numFmtId="173" formatCode="_-* #,##0_-;\-* #,##0_-;_-* &quot;-&quot;??_-;_-@_-"/>
    <numFmt numFmtId="174" formatCode="_(* #,##0_);_(* \(#,##0\);_(* &quot;-&quot;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"/>
    <numFmt numFmtId="180" formatCode="&quot;$&quot;#,##0.00"/>
    <numFmt numFmtId="181" formatCode="[$$-80A]#,##0.00"/>
    <numFmt numFmtId="182" formatCode="dd/mm/yy;@"/>
    <numFmt numFmtId="183" formatCode="[$$-80A]#,##0.00;\-[$$-80A]#,##0.00"/>
    <numFmt numFmtId="184" formatCode="_-&quot;$&quot;* #,##0.0_-;\-&quot;$&quot;* #,##0.0_-;_-&quot;$&quot;* &quot;-&quot;?_-;_-@_-"/>
    <numFmt numFmtId="185" formatCode="_-* #,##0.0_-;\-* #,##0.0_-;_-* &quot;-&quot;?_-;_-@_-"/>
    <numFmt numFmtId="186" formatCode="&quot;$&quot;#,##0.00_);\-&quot;$&quot;#,##0.00"/>
    <numFmt numFmtId="187" formatCode="0.00000"/>
    <numFmt numFmtId="188" formatCode="0.0000"/>
    <numFmt numFmtId="189" formatCode="0.000"/>
    <numFmt numFmtId="190" formatCode="#,##0.0"/>
    <numFmt numFmtId="191" formatCode="_-* #,##0.0_-;\-* #,##0.0_-;_-* &quot;-&quot;??_-;_-@_-"/>
    <numFmt numFmtId="19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sz val="8.05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4"/>
      <color indexed="8"/>
      <name val="Arial"/>
      <family val="2"/>
    </font>
    <font>
      <b/>
      <sz val="24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6"/>
      <color indexed="8"/>
      <name val="Arial"/>
      <family val="2"/>
    </font>
    <font>
      <sz val="8.05"/>
      <color indexed="63"/>
      <name val="Times New Roman"/>
      <family val="1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8"/>
      <color indexed="63"/>
      <name val="Times New Roman"/>
      <family val="1"/>
    </font>
    <font>
      <sz val="9"/>
      <color indexed="63"/>
      <name val="Arial Narrow"/>
      <family val="2"/>
    </font>
    <font>
      <sz val="8"/>
      <color indexed="63"/>
      <name val="Arial Narrow"/>
      <family val="2"/>
    </font>
    <font>
      <i/>
      <sz val="24"/>
      <color indexed="8"/>
      <name val="Bodoni MT Black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24"/>
      <color theme="1"/>
      <name val="Arial"/>
      <family val="2"/>
    </font>
    <font>
      <b/>
      <sz val="24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sz val="16"/>
      <color theme="1"/>
      <name val="Arial"/>
      <family val="2"/>
    </font>
    <font>
      <sz val="8.05"/>
      <color theme="1"/>
      <name val="Times New Roman"/>
      <family val="1"/>
    </font>
    <font>
      <sz val="9"/>
      <color theme="1"/>
      <name val="Arial"/>
      <family val="2"/>
    </font>
    <font>
      <sz val="8.05"/>
      <color theme="1" tint="0.34999001026153564"/>
      <name val="Times New Roman"/>
      <family val="1"/>
    </font>
    <font>
      <sz val="11"/>
      <color theme="1" tint="0.34999001026153564"/>
      <name val="Calibri"/>
      <family val="2"/>
    </font>
    <font>
      <sz val="10"/>
      <color theme="1" tint="0.34999001026153564"/>
      <name val="Arial"/>
      <family val="2"/>
    </font>
    <font>
      <sz val="8"/>
      <color theme="1" tint="0.34999001026153564"/>
      <name val="Times New Roman"/>
      <family val="1"/>
    </font>
    <font>
      <sz val="9"/>
      <color theme="1" tint="0.34999001026153564"/>
      <name val="Arial Narrow"/>
      <family val="2"/>
    </font>
    <font>
      <sz val="8"/>
      <color theme="1" tint="0.34999001026153564"/>
      <name val="Arial Narrow"/>
      <family val="2"/>
    </font>
    <font>
      <i/>
      <sz val="24"/>
      <color theme="1"/>
      <name val="Bodoni MT Black"/>
      <family val="1"/>
    </font>
    <font>
      <b/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4" fillId="31" borderId="0" applyNumberFormat="0" applyBorder="0" applyAlignment="0" applyProtection="0"/>
    <xf numFmtId="0" fontId="4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40" borderId="1" applyNumberFormat="0" applyAlignment="0" applyProtection="0"/>
    <xf numFmtId="168" fontId="2" fillId="0" borderId="0" applyFont="0" applyFill="0" applyBorder="0" applyAlignment="0" applyProtection="0"/>
    <xf numFmtId="0" fontId="48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44" borderId="11" xfId="0" applyFont="1" applyFill="1" applyBorder="1" applyAlignment="1">
      <alignment/>
    </xf>
    <xf numFmtId="0" fontId="57" fillId="44" borderId="12" xfId="0" applyFont="1" applyFill="1" applyBorder="1" applyAlignment="1">
      <alignment/>
    </xf>
    <xf numFmtId="0" fontId="57" fillId="44" borderId="10" xfId="0" applyFont="1" applyFill="1" applyBorder="1" applyAlignment="1">
      <alignment horizontal="center"/>
    </xf>
    <xf numFmtId="0" fontId="57" fillId="44" borderId="12" xfId="0" applyFont="1" applyFill="1" applyBorder="1" applyAlignment="1">
      <alignment horizontal="center"/>
    </xf>
    <xf numFmtId="4" fontId="57" fillId="44" borderId="10" xfId="0" applyNumberFormat="1" applyFont="1" applyFill="1" applyBorder="1" applyAlignment="1">
      <alignment/>
    </xf>
    <xf numFmtId="0" fontId="57" fillId="44" borderId="10" xfId="0" applyFont="1" applyFill="1" applyBorder="1" applyAlignment="1">
      <alignment/>
    </xf>
    <xf numFmtId="0" fontId="57" fillId="44" borderId="13" xfId="0" applyFont="1" applyFill="1" applyBorder="1" applyAlignment="1">
      <alignment/>
    </xf>
    <xf numFmtId="0" fontId="57" fillId="44" borderId="0" xfId="0" applyFont="1" applyFill="1" applyBorder="1" applyAlignment="1">
      <alignment/>
    </xf>
    <xf numFmtId="0" fontId="57" fillId="44" borderId="14" xfId="0" applyFont="1" applyFill="1" applyBorder="1" applyAlignment="1">
      <alignment/>
    </xf>
    <xf numFmtId="0" fontId="57" fillId="44" borderId="15" xfId="0" applyFont="1" applyFill="1" applyBorder="1" applyAlignment="1">
      <alignment/>
    </xf>
    <xf numFmtId="0" fontId="57" fillId="44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17" xfId="0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/>
    </xf>
    <xf numFmtId="4" fontId="56" fillId="0" borderId="17" xfId="0" applyNumberFormat="1" applyFont="1" applyFill="1" applyBorder="1" applyAlignment="1">
      <alignment/>
    </xf>
    <xf numFmtId="0" fontId="57" fillId="44" borderId="18" xfId="0" applyFont="1" applyFill="1" applyBorder="1" applyAlignment="1">
      <alignment/>
    </xf>
    <xf numFmtId="0" fontId="57" fillId="44" borderId="19" xfId="0" applyFont="1" applyFill="1" applyBorder="1" applyAlignment="1">
      <alignment/>
    </xf>
    <xf numFmtId="0" fontId="57" fillId="44" borderId="20" xfId="0" applyFont="1" applyFill="1" applyBorder="1" applyAlignment="1">
      <alignment/>
    </xf>
    <xf numFmtId="0" fontId="57" fillId="44" borderId="21" xfId="0" applyFont="1" applyFill="1" applyBorder="1" applyAlignment="1">
      <alignment horizontal="center"/>
    </xf>
    <xf numFmtId="4" fontId="57" fillId="44" borderId="21" xfId="0" applyNumberFormat="1" applyFont="1" applyFill="1" applyBorder="1" applyAlignment="1">
      <alignment/>
    </xf>
    <xf numFmtId="0" fontId="57" fillId="44" borderId="21" xfId="0" applyFont="1" applyFill="1" applyBorder="1" applyAlignment="1">
      <alignment/>
    </xf>
    <xf numFmtId="44" fontId="57" fillId="44" borderId="21" xfId="71" applyFont="1" applyFill="1" applyBorder="1" applyAlignment="1">
      <alignment/>
    </xf>
    <xf numFmtId="4" fontId="57" fillId="44" borderId="21" xfId="0" applyNumberFormat="1" applyFont="1" applyFill="1" applyBorder="1" applyAlignment="1">
      <alignment/>
    </xf>
    <xf numFmtId="0" fontId="58" fillId="44" borderId="11" xfId="0" applyFont="1" applyFill="1" applyBorder="1" applyAlignment="1">
      <alignment/>
    </xf>
    <xf numFmtId="0" fontId="57" fillId="44" borderId="22" xfId="0" applyFont="1" applyFill="1" applyBorder="1" applyAlignment="1">
      <alignment/>
    </xf>
    <xf numFmtId="0" fontId="57" fillId="44" borderId="23" xfId="0" applyFont="1" applyFill="1" applyBorder="1" applyAlignment="1">
      <alignment/>
    </xf>
    <xf numFmtId="0" fontId="57" fillId="44" borderId="22" xfId="0" applyFont="1" applyFill="1" applyBorder="1" applyAlignment="1">
      <alignment horizontal="center"/>
    </xf>
    <xf numFmtId="0" fontId="57" fillId="44" borderId="24" xfId="0" applyFont="1" applyFill="1" applyBorder="1" applyAlignment="1">
      <alignment/>
    </xf>
    <xf numFmtId="4" fontId="57" fillId="44" borderId="10" xfId="0" applyNumberFormat="1" applyFont="1" applyFill="1" applyBorder="1" applyAlignment="1">
      <alignment horizontal="center" vertical="center" wrapText="1"/>
    </xf>
    <xf numFmtId="0" fontId="56" fillId="44" borderId="25" xfId="0" applyFont="1" applyFill="1" applyBorder="1" applyAlignment="1">
      <alignment/>
    </xf>
    <xf numFmtId="0" fontId="56" fillId="44" borderId="23" xfId="0" applyFont="1" applyFill="1" applyBorder="1" applyAlignment="1">
      <alignment/>
    </xf>
    <xf numFmtId="0" fontId="58" fillId="44" borderId="25" xfId="0" applyFont="1" applyFill="1" applyBorder="1" applyAlignment="1">
      <alignment/>
    </xf>
    <xf numFmtId="0" fontId="56" fillId="44" borderId="14" xfId="0" applyFont="1" applyFill="1" applyBorder="1" applyAlignment="1">
      <alignment/>
    </xf>
    <xf numFmtId="0" fontId="56" fillId="44" borderId="15" xfId="0" applyFont="1" applyFill="1" applyBorder="1" applyAlignment="1">
      <alignment/>
    </xf>
    <xf numFmtId="0" fontId="57" fillId="44" borderId="22" xfId="0" applyFont="1" applyFill="1" applyBorder="1" applyAlignment="1">
      <alignment horizontal="center" vertical="center" wrapText="1"/>
    </xf>
    <xf numFmtId="0" fontId="56" fillId="44" borderId="26" xfId="0" applyFont="1" applyFill="1" applyBorder="1" applyAlignment="1">
      <alignment/>
    </xf>
    <xf numFmtId="0" fontId="56" fillId="44" borderId="27" xfId="0" applyFont="1" applyFill="1" applyBorder="1" applyAlignment="1">
      <alignment/>
    </xf>
    <xf numFmtId="0" fontId="57" fillId="44" borderId="27" xfId="0" applyFont="1" applyFill="1" applyBorder="1" applyAlignment="1">
      <alignment horizontal="center"/>
    </xf>
    <xf numFmtId="4" fontId="57" fillId="44" borderId="27" xfId="0" applyNumberFormat="1" applyFont="1" applyFill="1" applyBorder="1" applyAlignment="1">
      <alignment/>
    </xf>
    <xf numFmtId="4" fontId="57" fillId="44" borderId="12" xfId="0" applyNumberFormat="1" applyFont="1" applyFill="1" applyBorder="1" applyAlignment="1">
      <alignment/>
    </xf>
    <xf numFmtId="4" fontId="57" fillId="44" borderId="22" xfId="0" applyNumberFormat="1" applyFont="1" applyFill="1" applyBorder="1" applyAlignment="1">
      <alignment/>
    </xf>
    <xf numFmtId="0" fontId="57" fillId="44" borderId="17" xfId="0" applyFont="1" applyFill="1" applyBorder="1" applyAlignment="1">
      <alignment/>
    </xf>
    <xf numFmtId="0" fontId="57" fillId="44" borderId="17" xfId="0" applyFont="1" applyFill="1" applyBorder="1" applyAlignment="1">
      <alignment horizontal="center"/>
    </xf>
    <xf numFmtId="4" fontId="57" fillId="44" borderId="17" xfId="0" applyNumberFormat="1" applyFont="1" applyFill="1" applyBorder="1" applyAlignment="1">
      <alignment/>
    </xf>
    <xf numFmtId="0" fontId="57" fillId="44" borderId="11" xfId="0" applyFont="1" applyFill="1" applyBorder="1" applyAlignment="1">
      <alignment vertical="center" wrapText="1"/>
    </xf>
    <xf numFmtId="0" fontId="57" fillId="44" borderId="10" xfId="0" applyFont="1" applyFill="1" applyBorder="1" applyAlignment="1">
      <alignment vertical="center" wrapText="1"/>
    </xf>
    <xf numFmtId="0" fontId="57" fillId="44" borderId="28" xfId="0" applyFont="1" applyFill="1" applyBorder="1" applyAlignment="1">
      <alignment/>
    </xf>
    <xf numFmtId="0" fontId="57" fillId="44" borderId="29" xfId="0" applyFont="1" applyFill="1" applyBorder="1" applyAlignment="1">
      <alignment horizontal="center"/>
    </xf>
    <xf numFmtId="4" fontId="57" fillId="44" borderId="29" xfId="0" applyNumberFormat="1" applyFont="1" applyFill="1" applyBorder="1" applyAlignment="1">
      <alignment/>
    </xf>
    <xf numFmtId="4" fontId="56" fillId="44" borderId="29" xfId="0" applyNumberFormat="1" applyFont="1" applyFill="1" applyBorder="1" applyAlignment="1">
      <alignment/>
    </xf>
    <xf numFmtId="4" fontId="57" fillId="44" borderId="28" xfId="0" applyNumberFormat="1" applyFont="1" applyFill="1" applyBorder="1" applyAlignment="1">
      <alignment/>
    </xf>
    <xf numFmtId="0" fontId="59" fillId="44" borderId="25" xfId="0" applyFont="1" applyFill="1" applyBorder="1" applyAlignment="1">
      <alignment/>
    </xf>
    <xf numFmtId="0" fontId="57" fillId="44" borderId="23" xfId="0" applyFont="1" applyFill="1" applyBorder="1" applyAlignment="1">
      <alignment horizontal="center"/>
    </xf>
    <xf numFmtId="4" fontId="57" fillId="44" borderId="23" xfId="0" applyNumberFormat="1" applyFont="1" applyFill="1" applyBorder="1" applyAlignment="1">
      <alignment/>
    </xf>
    <xf numFmtId="4" fontId="56" fillId="44" borderId="23" xfId="0" applyNumberFormat="1" applyFont="1" applyFill="1" applyBorder="1" applyAlignment="1">
      <alignment/>
    </xf>
    <xf numFmtId="4" fontId="56" fillId="44" borderId="30" xfId="0" applyNumberFormat="1" applyFont="1" applyFill="1" applyBorder="1" applyAlignment="1">
      <alignment/>
    </xf>
    <xf numFmtId="180" fontId="57" fillId="44" borderId="10" xfId="0" applyNumberFormat="1" applyFont="1" applyFill="1" applyBorder="1" applyAlignment="1">
      <alignment horizontal="center" vertical="center" wrapText="1"/>
    </xf>
    <xf numFmtId="180" fontId="57" fillId="44" borderId="30" xfId="0" applyNumberFormat="1" applyFont="1" applyFill="1" applyBorder="1" applyAlignment="1">
      <alignment horizontal="center" vertical="center" wrapText="1"/>
    </xf>
    <xf numFmtId="3" fontId="57" fillId="44" borderId="29" xfId="0" applyNumberFormat="1" applyFont="1" applyFill="1" applyBorder="1" applyAlignment="1">
      <alignment horizontal="center"/>
    </xf>
    <xf numFmtId="0" fontId="57" fillId="44" borderId="29" xfId="0" applyFont="1" applyFill="1" applyBorder="1" applyAlignment="1">
      <alignment/>
    </xf>
    <xf numFmtId="4" fontId="57" fillId="44" borderId="29" xfId="0" applyNumberFormat="1" applyFont="1" applyFill="1" applyBorder="1" applyAlignment="1">
      <alignment horizontal="center"/>
    </xf>
    <xf numFmtId="0" fontId="60" fillId="44" borderId="23" xfId="0" applyFont="1" applyFill="1" applyBorder="1" applyAlignment="1">
      <alignment/>
    </xf>
    <xf numFmtId="0" fontId="60" fillId="44" borderId="23" xfId="0" applyFont="1" applyFill="1" applyBorder="1" applyAlignment="1">
      <alignment horizontal="center"/>
    </xf>
    <xf numFmtId="4" fontId="60" fillId="44" borderId="23" xfId="0" applyNumberFormat="1" applyFont="1" applyFill="1" applyBorder="1" applyAlignment="1">
      <alignment/>
    </xf>
    <xf numFmtId="4" fontId="60" fillId="44" borderId="23" xfId="0" applyNumberFormat="1" applyFont="1" applyFill="1" applyBorder="1" applyAlignment="1">
      <alignment horizontal="center"/>
    </xf>
    <xf numFmtId="4" fontId="60" fillId="44" borderId="30" xfId="0" applyNumberFormat="1" applyFont="1" applyFill="1" applyBorder="1" applyAlignment="1">
      <alignment/>
    </xf>
    <xf numFmtId="0" fontId="56" fillId="0" borderId="31" xfId="0" applyFont="1" applyFill="1" applyBorder="1" applyAlignment="1">
      <alignment/>
    </xf>
    <xf numFmtId="4" fontId="56" fillId="0" borderId="31" xfId="0" applyNumberFormat="1" applyFont="1" applyFill="1" applyBorder="1" applyAlignment="1">
      <alignment/>
    </xf>
    <xf numFmtId="4" fontId="56" fillId="0" borderId="17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4" fontId="57" fillId="44" borderId="10" xfId="0" applyNumberFormat="1" applyFont="1" applyFill="1" applyBorder="1" applyAlignment="1">
      <alignment horizontal="center"/>
    </xf>
    <xf numFmtId="3" fontId="57" fillId="44" borderId="10" xfId="0" applyNumberFormat="1" applyFont="1" applyFill="1" applyBorder="1" applyAlignment="1">
      <alignment horizontal="center"/>
    </xf>
    <xf numFmtId="0" fontId="56" fillId="0" borderId="32" xfId="0" applyFont="1" applyFill="1" applyBorder="1" applyAlignment="1">
      <alignment/>
    </xf>
    <xf numFmtId="0" fontId="56" fillId="0" borderId="31" xfId="0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 horizontal="center"/>
    </xf>
    <xf numFmtId="4" fontId="56" fillId="0" borderId="27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6" fillId="0" borderId="33" xfId="0" applyNumberFormat="1" applyFont="1" applyFill="1" applyBorder="1" applyAlignment="1">
      <alignment/>
    </xf>
    <xf numFmtId="4" fontId="56" fillId="0" borderId="34" xfId="0" applyNumberFormat="1" applyFont="1" applyFill="1" applyBorder="1" applyAlignment="1">
      <alignment/>
    </xf>
    <xf numFmtId="4" fontId="56" fillId="0" borderId="31" xfId="0" applyNumberFormat="1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35" xfId="0" applyFont="1" applyFill="1" applyBorder="1" applyAlignment="1">
      <alignment/>
    </xf>
    <xf numFmtId="0" fontId="56" fillId="0" borderId="35" xfId="0" applyFont="1" applyFill="1" applyBorder="1" applyAlignment="1">
      <alignment horizontal="center"/>
    </xf>
    <xf numFmtId="4" fontId="56" fillId="0" borderId="35" xfId="0" applyNumberFormat="1" applyFont="1" applyFill="1" applyBorder="1" applyAlignment="1">
      <alignment/>
    </xf>
    <xf numFmtId="4" fontId="56" fillId="0" borderId="31" xfId="0" applyNumberFormat="1" applyFont="1" applyFill="1" applyBorder="1" applyAlignment="1">
      <alignment horizontal="center"/>
    </xf>
    <xf numFmtId="0" fontId="56" fillId="0" borderId="36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7" fillId="0" borderId="0" xfId="0" applyFont="1" applyAlignment="1">
      <alignment vertical="center"/>
    </xf>
    <xf numFmtId="0" fontId="57" fillId="44" borderId="27" xfId="0" applyFont="1" applyFill="1" applyBorder="1" applyAlignment="1">
      <alignment/>
    </xf>
    <xf numFmtId="0" fontId="61" fillId="0" borderId="31" xfId="0" applyFont="1" applyFill="1" applyBorder="1" applyAlignment="1">
      <alignment wrapText="1"/>
    </xf>
    <xf numFmtId="44" fontId="56" fillId="0" borderId="31" xfId="71" applyFont="1" applyFill="1" applyBorder="1" applyAlignment="1">
      <alignment/>
    </xf>
    <xf numFmtId="44" fontId="56" fillId="0" borderId="17" xfId="71" applyFont="1" applyFill="1" applyBorder="1" applyAlignment="1">
      <alignment/>
    </xf>
    <xf numFmtId="44" fontId="56" fillId="0" borderId="17" xfId="71" applyFont="1" applyFill="1" applyBorder="1" applyAlignment="1">
      <alignment horizontal="center"/>
    </xf>
    <xf numFmtId="4" fontId="56" fillId="44" borderId="31" xfId="0" applyNumberFormat="1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44" fontId="0" fillId="0" borderId="0" xfId="71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4" borderId="23" xfId="0" applyFont="1" applyFill="1" applyBorder="1" applyAlignment="1">
      <alignment/>
    </xf>
    <xf numFmtId="0" fontId="0" fillId="44" borderId="23" xfId="0" applyFont="1" applyFill="1" applyBorder="1" applyAlignment="1">
      <alignment horizontal="center"/>
    </xf>
    <xf numFmtId="4" fontId="0" fillId="44" borderId="23" xfId="0" applyNumberFormat="1" applyFont="1" applyFill="1" applyBorder="1" applyAlignment="1">
      <alignment/>
    </xf>
    <xf numFmtId="4" fontId="0" fillId="44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7" fillId="0" borderId="11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0" fontId="56" fillId="0" borderId="19" xfId="0" applyFont="1" applyFill="1" applyBorder="1" applyAlignment="1">
      <alignment horizontal="center"/>
    </xf>
    <xf numFmtId="4" fontId="56" fillId="0" borderId="19" xfId="0" applyNumberFormat="1" applyFont="1" applyFill="1" applyBorder="1" applyAlignment="1">
      <alignment/>
    </xf>
    <xf numFmtId="4" fontId="56" fillId="0" borderId="19" xfId="0" applyNumberFormat="1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57" fillId="0" borderId="22" xfId="0" applyFont="1" applyFill="1" applyBorder="1" applyAlignment="1">
      <alignment horizontal="center"/>
    </xf>
    <xf numFmtId="4" fontId="56" fillId="0" borderId="3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4" fontId="0" fillId="0" borderId="17" xfId="71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9" xfId="0" applyFont="1" applyFill="1" applyBorder="1" applyAlignment="1">
      <alignment/>
    </xf>
    <xf numFmtId="0" fontId="56" fillId="0" borderId="39" xfId="0" applyFont="1" applyFill="1" applyBorder="1" applyAlignment="1">
      <alignment horizontal="center"/>
    </xf>
    <xf numFmtId="4" fontId="56" fillId="0" borderId="39" xfId="0" applyNumberFormat="1" applyFont="1" applyFill="1" applyBorder="1" applyAlignment="1">
      <alignment/>
    </xf>
    <xf numFmtId="4" fontId="56" fillId="0" borderId="40" xfId="0" applyNumberFormat="1" applyFont="1" applyFill="1" applyBorder="1" applyAlignment="1">
      <alignment/>
    </xf>
    <xf numFmtId="4" fontId="56" fillId="0" borderId="4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56" fillId="44" borderId="0" xfId="0" applyFont="1" applyFill="1" applyBorder="1" applyAlignment="1">
      <alignment/>
    </xf>
    <xf numFmtId="0" fontId="57" fillId="44" borderId="42" xfId="0" applyFont="1" applyFill="1" applyBorder="1" applyAlignment="1">
      <alignment horizontal="center"/>
    </xf>
    <xf numFmtId="4" fontId="57" fillId="44" borderId="42" xfId="0" applyNumberFormat="1" applyFont="1" applyFill="1" applyBorder="1" applyAlignment="1">
      <alignment/>
    </xf>
    <xf numFmtId="0" fontId="57" fillId="44" borderId="42" xfId="0" applyFont="1" applyFill="1" applyBorder="1" applyAlignment="1">
      <alignment/>
    </xf>
    <xf numFmtId="4" fontId="57" fillId="44" borderId="42" xfId="0" applyNumberFormat="1" applyFont="1" applyFill="1" applyBorder="1" applyAlignment="1">
      <alignment horizontal="center"/>
    </xf>
    <xf numFmtId="4" fontId="56" fillId="44" borderId="40" xfId="0" applyNumberFormat="1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56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56" fillId="44" borderId="12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7" fillId="0" borderId="21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4" fillId="0" borderId="17" xfId="0" applyFont="1" applyFill="1" applyBorder="1" applyAlignment="1">
      <alignment/>
    </xf>
    <xf numFmtId="0" fontId="64" fillId="0" borderId="17" xfId="0" applyFont="1" applyFill="1" applyBorder="1" applyAlignment="1">
      <alignment vertical="center"/>
    </xf>
    <xf numFmtId="0" fontId="64" fillId="0" borderId="17" xfId="0" applyFont="1" applyFill="1" applyBorder="1" applyAlignment="1">
      <alignment horizontal="center"/>
    </xf>
    <xf numFmtId="7" fontId="64" fillId="0" borderId="17" xfId="0" applyNumberFormat="1" applyFont="1" applyFill="1" applyBorder="1" applyAlignment="1" applyProtection="1">
      <alignment/>
      <protection/>
    </xf>
    <xf numFmtId="4" fontId="64" fillId="0" borderId="17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4" fontId="2" fillId="0" borderId="17" xfId="7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0" fontId="65" fillId="0" borderId="17" xfId="0" applyFont="1" applyFill="1" applyBorder="1" applyAlignment="1">
      <alignment vertical="center"/>
    </xf>
    <xf numFmtId="0" fontId="66" fillId="0" borderId="17" xfId="0" applyNumberFormat="1" applyFont="1" applyFill="1" applyBorder="1" applyAlignment="1" applyProtection="1">
      <alignment/>
      <protection/>
    </xf>
    <xf numFmtId="0" fontId="67" fillId="0" borderId="17" xfId="0" applyFont="1" applyFill="1" applyBorder="1" applyAlignment="1">
      <alignment horizontal="center"/>
    </xf>
    <xf numFmtId="44" fontId="67" fillId="0" borderId="17" xfId="71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/>
    </xf>
    <xf numFmtId="0" fontId="67" fillId="0" borderId="17" xfId="0" applyFont="1" applyFill="1" applyBorder="1" applyAlignment="1">
      <alignment/>
    </xf>
    <xf numFmtId="4" fontId="67" fillId="0" borderId="17" xfId="0" applyNumberFormat="1" applyFont="1" applyFill="1" applyBorder="1" applyAlignment="1">
      <alignment horizontal="center"/>
    </xf>
    <xf numFmtId="0" fontId="68" fillId="0" borderId="17" xfId="0" applyFont="1" applyFill="1" applyBorder="1" applyAlignment="1">
      <alignment/>
    </xf>
    <xf numFmtId="0" fontId="67" fillId="0" borderId="17" xfId="0" applyFont="1" applyFill="1" applyBorder="1" applyAlignment="1">
      <alignment horizontal="right"/>
    </xf>
    <xf numFmtId="0" fontId="69" fillId="0" borderId="17" xfId="77" applyFont="1" applyFill="1" applyBorder="1">
      <alignment/>
      <protection/>
    </xf>
    <xf numFmtId="14" fontId="69" fillId="0" borderId="17" xfId="77" applyNumberFormat="1" applyFont="1" applyFill="1" applyBorder="1" applyAlignment="1">
      <alignment horizontal="center"/>
      <protection/>
    </xf>
    <xf numFmtId="14" fontId="69" fillId="0" borderId="0" xfId="77" applyNumberFormat="1" applyFont="1" applyFill="1" applyAlignment="1">
      <alignment horizontal="center"/>
      <protection/>
    </xf>
    <xf numFmtId="0" fontId="69" fillId="0" borderId="0" xfId="77" applyFont="1" applyFill="1" applyBorder="1">
      <alignment/>
      <protection/>
    </xf>
    <xf numFmtId="0" fontId="69" fillId="0" borderId="17" xfId="77" applyFont="1" applyFill="1" applyBorder="1" applyAlignment="1">
      <alignment horizontal="left"/>
      <protection/>
    </xf>
    <xf numFmtId="0" fontId="69" fillId="0" borderId="17" xfId="77" applyNumberFormat="1" applyFont="1" applyFill="1" applyBorder="1" applyAlignment="1" applyProtection="1">
      <alignment/>
      <protection/>
    </xf>
    <xf numFmtId="0" fontId="69" fillId="0" borderId="0" xfId="77" applyFont="1" applyFill="1" applyBorder="1" applyAlignment="1">
      <alignment/>
      <protection/>
    </xf>
    <xf numFmtId="0" fontId="70" fillId="0" borderId="17" xfId="77" applyFont="1" applyFill="1" applyBorder="1" applyAlignment="1">
      <alignment/>
      <protection/>
    </xf>
    <xf numFmtId="14" fontId="70" fillId="0" borderId="17" xfId="77" applyNumberFormat="1" applyFont="1" applyFill="1" applyBorder="1" applyAlignment="1">
      <alignment horizontal="center"/>
      <protection/>
    </xf>
    <xf numFmtId="0" fontId="70" fillId="0" borderId="17" xfId="77" applyFont="1" applyFill="1" applyBorder="1">
      <alignment/>
      <protection/>
    </xf>
    <xf numFmtId="0" fontId="56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6" fillId="45" borderId="25" xfId="74" applyFont="1" applyFill="1" applyBorder="1" applyAlignment="1" applyProtection="1">
      <alignment horizontal="center" vertical="center"/>
      <protection/>
    </xf>
    <xf numFmtId="0" fontId="6" fillId="45" borderId="23" xfId="74" applyFont="1" applyFill="1" applyBorder="1" applyAlignment="1" applyProtection="1">
      <alignment horizontal="center" vertical="center"/>
      <protection/>
    </xf>
    <xf numFmtId="0" fontId="6" fillId="45" borderId="30" xfId="74" applyFont="1" applyFill="1" applyBorder="1" applyAlignment="1" applyProtection="1">
      <alignment horizontal="center" vertical="center"/>
      <protection/>
    </xf>
    <xf numFmtId="0" fontId="6" fillId="45" borderId="14" xfId="74" applyFont="1" applyFill="1" applyBorder="1" applyAlignment="1" applyProtection="1">
      <alignment horizontal="center" vertical="center"/>
      <protection/>
    </xf>
    <xf numFmtId="0" fontId="6" fillId="45" borderId="15" xfId="74" applyFont="1" applyFill="1" applyBorder="1" applyAlignment="1" applyProtection="1">
      <alignment horizontal="center" vertical="center"/>
      <protection/>
    </xf>
    <xf numFmtId="0" fontId="6" fillId="45" borderId="24" xfId="74" applyFont="1" applyFill="1" applyBorder="1" applyAlignment="1" applyProtection="1">
      <alignment horizontal="center" vertical="center"/>
      <protection/>
    </xf>
    <xf numFmtId="0" fontId="71" fillId="44" borderId="11" xfId="0" applyFont="1" applyFill="1" applyBorder="1" applyAlignment="1">
      <alignment horizontal="center" vertical="center" wrapText="1"/>
    </xf>
    <xf numFmtId="0" fontId="71" fillId="44" borderId="12" xfId="0" applyFont="1" applyFill="1" applyBorder="1" applyAlignment="1">
      <alignment horizontal="center" vertical="center" wrapText="1"/>
    </xf>
    <xf numFmtId="0" fontId="71" fillId="44" borderId="22" xfId="0" applyFont="1" applyFill="1" applyBorder="1" applyAlignment="1">
      <alignment horizontal="center" vertical="center" wrapText="1"/>
    </xf>
    <xf numFmtId="0" fontId="72" fillId="45" borderId="25" xfId="74" applyFont="1" applyFill="1" applyBorder="1" applyAlignment="1" applyProtection="1">
      <alignment horizontal="center" vertical="center"/>
      <protection/>
    </xf>
    <xf numFmtId="0" fontId="72" fillId="45" borderId="23" xfId="74" applyFont="1" applyFill="1" applyBorder="1" applyAlignment="1" applyProtection="1">
      <alignment horizontal="center" vertical="center"/>
      <protection/>
    </xf>
    <xf numFmtId="0" fontId="72" fillId="45" borderId="30" xfId="74" applyFont="1" applyFill="1" applyBorder="1" applyAlignment="1" applyProtection="1">
      <alignment horizontal="center" vertical="center"/>
      <protection/>
    </xf>
    <xf numFmtId="0" fontId="72" fillId="45" borderId="14" xfId="74" applyFont="1" applyFill="1" applyBorder="1" applyAlignment="1" applyProtection="1">
      <alignment horizontal="center" vertical="center"/>
      <protection/>
    </xf>
    <xf numFmtId="0" fontId="72" fillId="45" borderId="15" xfId="74" applyFont="1" applyFill="1" applyBorder="1" applyAlignment="1" applyProtection="1">
      <alignment horizontal="center" vertical="center"/>
      <protection/>
    </xf>
    <xf numFmtId="0" fontId="72" fillId="45" borderId="24" xfId="74" applyFont="1" applyFill="1" applyBorder="1" applyAlignment="1" applyProtection="1">
      <alignment horizontal="center" vertical="center"/>
      <protection/>
    </xf>
    <xf numFmtId="0" fontId="71" fillId="44" borderId="25" xfId="0" applyFont="1" applyFill="1" applyBorder="1" applyAlignment="1">
      <alignment horizontal="center" vertical="center" wrapText="1"/>
    </xf>
    <xf numFmtId="0" fontId="71" fillId="44" borderId="23" xfId="0" applyFont="1" applyFill="1" applyBorder="1" applyAlignment="1">
      <alignment horizontal="center" vertical="center" wrapText="1"/>
    </xf>
    <xf numFmtId="0" fontId="71" fillId="44" borderId="30" xfId="0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rmal 9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ítulo de hoja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82" zoomScaleNormal="82" zoomScalePageLayoutView="0" workbookViewId="0" topLeftCell="A1">
      <selection activeCell="C6" sqref="C6:C46"/>
    </sheetView>
  </sheetViews>
  <sheetFormatPr defaultColWidth="11.421875" defaultRowHeight="15"/>
  <cols>
    <col min="1" max="1" width="26.421875" style="0" customWidth="1"/>
    <col min="2" max="2" width="20.8515625" style="0" customWidth="1"/>
    <col min="3" max="3" width="37.28125" style="0" customWidth="1"/>
    <col min="8" max="8" width="12.28125" style="0" customWidth="1"/>
    <col min="9" max="9" width="14.140625" style="0" customWidth="1"/>
    <col min="11" max="11" width="16.140625" style="0" customWidth="1"/>
    <col min="13" max="13" width="14.140625" style="0" customWidth="1"/>
  </cols>
  <sheetData>
    <row r="1" spans="1:13" ht="18">
      <c r="A1" s="191" t="s">
        <v>247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8.75" thickBot="1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ht="15.75" thickBot="1">
      <c r="A3" s="2"/>
      <c r="B3" s="2"/>
      <c r="C3" s="2"/>
      <c r="D3" s="3"/>
      <c r="E3" s="3"/>
      <c r="F3" s="3"/>
      <c r="G3" s="3"/>
      <c r="H3" s="2"/>
      <c r="I3" s="2"/>
      <c r="J3" s="2"/>
      <c r="K3" s="2"/>
      <c r="L3" s="2"/>
      <c r="M3" s="2"/>
    </row>
    <row r="4" spans="1:13" ht="39" thickBot="1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31.5" thickBot="1">
      <c r="A5" s="197" t="s">
        <v>16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1:14" ht="15">
      <c r="A6" s="89" t="s">
        <v>17</v>
      </c>
      <c r="B6" s="89" t="s">
        <v>18</v>
      </c>
      <c r="C6" s="162"/>
      <c r="D6" s="90">
        <v>40</v>
      </c>
      <c r="E6" s="90" t="s">
        <v>19</v>
      </c>
      <c r="F6" s="90" t="s">
        <v>20</v>
      </c>
      <c r="G6" s="90">
        <v>1</v>
      </c>
      <c r="H6" s="91">
        <v>31325.94</v>
      </c>
      <c r="I6" s="91">
        <f aca="true" t="shared" si="0" ref="I6:I24">+H6*J6</f>
        <v>375911.27999999997</v>
      </c>
      <c r="J6" s="89">
        <v>12</v>
      </c>
      <c r="K6" s="91">
        <f aca="true" t="shared" si="1" ref="K6:K25">+I6/365*50</f>
        <v>51494.695890410956</v>
      </c>
      <c r="L6" s="91"/>
      <c r="M6" s="91">
        <f aca="true" t="shared" si="2" ref="M6:M40">+I6+K6</f>
        <v>427405.97589041095</v>
      </c>
      <c r="N6" s="1"/>
    </row>
    <row r="7" spans="1:14" ht="15">
      <c r="A7" s="18" t="s">
        <v>17</v>
      </c>
      <c r="B7" s="18" t="s">
        <v>18</v>
      </c>
      <c r="C7" s="163"/>
      <c r="D7" s="19">
        <v>40</v>
      </c>
      <c r="E7" s="19" t="s">
        <v>19</v>
      </c>
      <c r="F7" s="19" t="s">
        <v>20</v>
      </c>
      <c r="G7" s="19">
        <v>1</v>
      </c>
      <c r="H7" s="21">
        <v>31325.94</v>
      </c>
      <c r="I7" s="21">
        <f t="shared" si="0"/>
        <v>375911.27999999997</v>
      </c>
      <c r="J7" s="18">
        <v>12</v>
      </c>
      <c r="K7" s="21">
        <f t="shared" si="1"/>
        <v>51494.695890410956</v>
      </c>
      <c r="L7" s="21"/>
      <c r="M7" s="21">
        <f t="shared" si="2"/>
        <v>427405.97589041095</v>
      </c>
      <c r="N7" s="1"/>
    </row>
    <row r="8" spans="1:14" ht="15">
      <c r="A8" s="18" t="s">
        <v>17</v>
      </c>
      <c r="B8" s="18" t="s">
        <v>18</v>
      </c>
      <c r="C8" s="163"/>
      <c r="D8" s="19">
        <v>40</v>
      </c>
      <c r="E8" s="19" t="s">
        <v>19</v>
      </c>
      <c r="F8" s="19" t="s">
        <v>20</v>
      </c>
      <c r="G8" s="19">
        <v>1</v>
      </c>
      <c r="H8" s="21">
        <v>31325.94</v>
      </c>
      <c r="I8" s="21">
        <f t="shared" si="0"/>
        <v>375911.27999999997</v>
      </c>
      <c r="J8" s="18">
        <v>12</v>
      </c>
      <c r="K8" s="21">
        <f t="shared" si="1"/>
        <v>51494.695890410956</v>
      </c>
      <c r="L8" s="21"/>
      <c r="M8" s="21">
        <f t="shared" si="2"/>
        <v>427405.97589041095</v>
      </c>
      <c r="N8" s="1"/>
    </row>
    <row r="9" spans="1:14" ht="15">
      <c r="A9" s="18" t="s">
        <v>17</v>
      </c>
      <c r="B9" s="18" t="s">
        <v>18</v>
      </c>
      <c r="C9" s="163"/>
      <c r="D9" s="19">
        <v>40</v>
      </c>
      <c r="E9" s="19" t="s">
        <v>19</v>
      </c>
      <c r="F9" s="19" t="s">
        <v>20</v>
      </c>
      <c r="G9" s="19">
        <v>1</v>
      </c>
      <c r="H9" s="21">
        <v>31325.94</v>
      </c>
      <c r="I9" s="21">
        <f t="shared" si="0"/>
        <v>375911.27999999997</v>
      </c>
      <c r="J9" s="18">
        <v>12</v>
      </c>
      <c r="K9" s="21">
        <f t="shared" si="1"/>
        <v>51494.695890410956</v>
      </c>
      <c r="L9" s="21"/>
      <c r="M9" s="21">
        <f t="shared" si="2"/>
        <v>427405.97589041095</v>
      </c>
      <c r="N9" s="1"/>
    </row>
    <row r="10" spans="1:14" ht="15">
      <c r="A10" s="18" t="s">
        <v>17</v>
      </c>
      <c r="B10" s="18" t="s">
        <v>18</v>
      </c>
      <c r="C10" s="163"/>
      <c r="D10" s="19">
        <v>40</v>
      </c>
      <c r="E10" s="19" t="s">
        <v>19</v>
      </c>
      <c r="F10" s="19" t="s">
        <v>20</v>
      </c>
      <c r="G10" s="19">
        <v>1</v>
      </c>
      <c r="H10" s="21">
        <v>31325.94</v>
      </c>
      <c r="I10" s="21">
        <f t="shared" si="0"/>
        <v>375911.27999999997</v>
      </c>
      <c r="J10" s="18">
        <v>12</v>
      </c>
      <c r="K10" s="21">
        <f t="shared" si="1"/>
        <v>51494.695890410956</v>
      </c>
      <c r="L10" s="21"/>
      <c r="M10" s="21">
        <f t="shared" si="2"/>
        <v>427405.97589041095</v>
      </c>
      <c r="N10" s="1"/>
    </row>
    <row r="11" spans="1:14" ht="15">
      <c r="A11" s="18" t="s">
        <v>17</v>
      </c>
      <c r="B11" s="18" t="s">
        <v>18</v>
      </c>
      <c r="C11" s="163"/>
      <c r="D11" s="19">
        <v>40</v>
      </c>
      <c r="E11" s="19" t="s">
        <v>19</v>
      </c>
      <c r="F11" s="19" t="s">
        <v>20</v>
      </c>
      <c r="G11" s="19">
        <v>1</v>
      </c>
      <c r="H11" s="21">
        <v>31325.94</v>
      </c>
      <c r="I11" s="21">
        <f t="shared" si="0"/>
        <v>375911.27999999997</v>
      </c>
      <c r="J11" s="18">
        <v>12</v>
      </c>
      <c r="K11" s="21">
        <f t="shared" si="1"/>
        <v>51494.695890410956</v>
      </c>
      <c r="L11" s="21"/>
      <c r="M11" s="21">
        <f t="shared" si="2"/>
        <v>427405.97589041095</v>
      </c>
      <c r="N11" s="1"/>
    </row>
    <row r="12" spans="1:14" ht="15">
      <c r="A12" s="18" t="s">
        <v>17</v>
      </c>
      <c r="B12" s="18" t="s">
        <v>18</v>
      </c>
      <c r="C12" s="163"/>
      <c r="D12" s="19">
        <v>40</v>
      </c>
      <c r="E12" s="19" t="s">
        <v>19</v>
      </c>
      <c r="F12" s="19" t="s">
        <v>20</v>
      </c>
      <c r="G12" s="19">
        <v>1</v>
      </c>
      <c r="H12" s="21">
        <v>31325.94</v>
      </c>
      <c r="I12" s="21">
        <f t="shared" si="0"/>
        <v>375911.27999999997</v>
      </c>
      <c r="J12" s="18">
        <v>12</v>
      </c>
      <c r="K12" s="21">
        <f t="shared" si="1"/>
        <v>51494.695890410956</v>
      </c>
      <c r="L12" s="21"/>
      <c r="M12" s="21">
        <f t="shared" si="2"/>
        <v>427405.97589041095</v>
      </c>
      <c r="N12" s="1"/>
    </row>
    <row r="13" spans="1:14" ht="15">
      <c r="A13" s="18" t="s">
        <v>17</v>
      </c>
      <c r="B13" s="18" t="s">
        <v>18</v>
      </c>
      <c r="C13" s="163"/>
      <c r="D13" s="19">
        <v>40</v>
      </c>
      <c r="E13" s="19" t="s">
        <v>19</v>
      </c>
      <c r="F13" s="19" t="s">
        <v>20</v>
      </c>
      <c r="G13" s="19">
        <v>1</v>
      </c>
      <c r="H13" s="21">
        <v>31325.94</v>
      </c>
      <c r="I13" s="21">
        <f t="shared" si="0"/>
        <v>375911.27999999997</v>
      </c>
      <c r="J13" s="18">
        <v>12</v>
      </c>
      <c r="K13" s="21">
        <f t="shared" si="1"/>
        <v>51494.695890410956</v>
      </c>
      <c r="L13" s="21"/>
      <c r="M13" s="21">
        <f t="shared" si="2"/>
        <v>427405.97589041095</v>
      </c>
      <c r="N13" s="1"/>
    </row>
    <row r="14" spans="1:14" ht="15">
      <c r="A14" s="18" t="s">
        <v>17</v>
      </c>
      <c r="B14" s="18" t="s">
        <v>18</v>
      </c>
      <c r="C14" s="163"/>
      <c r="D14" s="19">
        <v>40</v>
      </c>
      <c r="E14" s="19" t="s">
        <v>19</v>
      </c>
      <c r="F14" s="19" t="s">
        <v>20</v>
      </c>
      <c r="G14" s="19">
        <v>1</v>
      </c>
      <c r="H14" s="21">
        <v>31325.94</v>
      </c>
      <c r="I14" s="21">
        <f t="shared" si="0"/>
        <v>375911.27999999997</v>
      </c>
      <c r="J14" s="18">
        <v>12</v>
      </c>
      <c r="K14" s="21">
        <f t="shared" si="1"/>
        <v>51494.695890410956</v>
      </c>
      <c r="L14" s="21"/>
      <c r="M14" s="21">
        <f t="shared" si="2"/>
        <v>427405.97589041095</v>
      </c>
      <c r="N14" s="1"/>
    </row>
    <row r="15" spans="1:14" ht="15">
      <c r="A15" s="18" t="s">
        <v>17</v>
      </c>
      <c r="B15" s="18" t="s">
        <v>18</v>
      </c>
      <c r="C15" s="163"/>
      <c r="D15" s="19">
        <v>40</v>
      </c>
      <c r="E15" s="19" t="s">
        <v>19</v>
      </c>
      <c r="F15" s="19" t="s">
        <v>20</v>
      </c>
      <c r="G15" s="19">
        <v>1</v>
      </c>
      <c r="H15" s="21">
        <v>31325.94</v>
      </c>
      <c r="I15" s="21">
        <f t="shared" si="0"/>
        <v>375911.27999999997</v>
      </c>
      <c r="J15" s="18">
        <v>12</v>
      </c>
      <c r="K15" s="21">
        <f>+I15/365*50</f>
        <v>51494.695890410956</v>
      </c>
      <c r="L15" s="21"/>
      <c r="M15" s="21">
        <f t="shared" si="2"/>
        <v>427405.97589041095</v>
      </c>
      <c r="N15" s="1"/>
    </row>
    <row r="16" spans="1:14" ht="15">
      <c r="A16" s="18" t="s">
        <v>17</v>
      </c>
      <c r="B16" s="18" t="s">
        <v>18</v>
      </c>
      <c r="C16" s="163"/>
      <c r="D16" s="19">
        <v>40</v>
      </c>
      <c r="E16" s="19" t="s">
        <v>19</v>
      </c>
      <c r="F16" s="19" t="s">
        <v>20</v>
      </c>
      <c r="G16" s="19">
        <v>1</v>
      </c>
      <c r="H16" s="21">
        <v>31325.94</v>
      </c>
      <c r="I16" s="21">
        <f t="shared" si="0"/>
        <v>375911.27999999997</v>
      </c>
      <c r="J16" s="18">
        <v>12</v>
      </c>
      <c r="K16" s="21">
        <f t="shared" si="1"/>
        <v>51494.695890410956</v>
      </c>
      <c r="L16" s="21"/>
      <c r="M16" s="21">
        <f t="shared" si="2"/>
        <v>427405.97589041095</v>
      </c>
      <c r="N16" s="1"/>
    </row>
    <row r="17" spans="1:14" ht="15">
      <c r="A17" s="18" t="s">
        <v>17</v>
      </c>
      <c r="B17" s="18" t="s">
        <v>18</v>
      </c>
      <c r="C17" s="163"/>
      <c r="D17" s="19">
        <v>40</v>
      </c>
      <c r="E17" s="19" t="s">
        <v>19</v>
      </c>
      <c r="F17" s="19" t="s">
        <v>20</v>
      </c>
      <c r="G17" s="19">
        <v>1</v>
      </c>
      <c r="H17" s="21">
        <v>31325.94</v>
      </c>
      <c r="I17" s="21">
        <f t="shared" si="0"/>
        <v>375911.27999999997</v>
      </c>
      <c r="J17" s="18">
        <v>12</v>
      </c>
      <c r="K17" s="21">
        <f t="shared" si="1"/>
        <v>51494.695890410956</v>
      </c>
      <c r="L17" s="21"/>
      <c r="M17" s="21">
        <f t="shared" si="2"/>
        <v>427405.97589041095</v>
      </c>
      <c r="N17" s="1"/>
    </row>
    <row r="18" spans="1:14" ht="15">
      <c r="A18" s="18" t="s">
        <v>21</v>
      </c>
      <c r="B18" s="18" t="s">
        <v>22</v>
      </c>
      <c r="C18" s="163"/>
      <c r="D18" s="19">
        <v>40</v>
      </c>
      <c r="E18" s="19" t="s">
        <v>19</v>
      </c>
      <c r="F18" s="19" t="s">
        <v>20</v>
      </c>
      <c r="G18" s="19">
        <v>1</v>
      </c>
      <c r="H18" s="21">
        <f>32100*1.05</f>
        <v>33705</v>
      </c>
      <c r="I18" s="21">
        <f t="shared" si="0"/>
        <v>404460</v>
      </c>
      <c r="J18" s="18">
        <v>12</v>
      </c>
      <c r="K18" s="21">
        <f t="shared" si="1"/>
        <v>55405.479452054795</v>
      </c>
      <c r="L18" s="21"/>
      <c r="M18" s="21">
        <f t="shared" si="2"/>
        <v>459865.4794520548</v>
      </c>
      <c r="N18" s="1"/>
    </row>
    <row r="19" spans="1:14" ht="15">
      <c r="A19" s="18" t="s">
        <v>169</v>
      </c>
      <c r="B19" s="18" t="s">
        <v>22</v>
      </c>
      <c r="C19" s="163"/>
      <c r="D19" s="19">
        <v>40</v>
      </c>
      <c r="E19" s="19" t="s">
        <v>19</v>
      </c>
      <c r="F19" s="19" t="s">
        <v>20</v>
      </c>
      <c r="G19" s="19">
        <v>1</v>
      </c>
      <c r="H19" s="21">
        <f>29507*1.05</f>
        <v>30982.350000000002</v>
      </c>
      <c r="I19" s="21">
        <f t="shared" si="0"/>
        <v>371788.2</v>
      </c>
      <c r="J19" s="18">
        <v>12</v>
      </c>
      <c r="K19" s="21">
        <f t="shared" si="1"/>
        <v>50929.890410958906</v>
      </c>
      <c r="L19" s="21"/>
      <c r="M19" s="21">
        <f t="shared" si="2"/>
        <v>422718.0904109589</v>
      </c>
      <c r="N19" s="1"/>
    </row>
    <row r="20" spans="1:14" ht="15">
      <c r="A20" s="18" t="s">
        <v>220</v>
      </c>
      <c r="B20" s="18" t="s">
        <v>22</v>
      </c>
      <c r="C20" s="163"/>
      <c r="D20" s="19">
        <v>40</v>
      </c>
      <c r="E20" s="19" t="s">
        <v>19</v>
      </c>
      <c r="F20" s="19" t="s">
        <v>20</v>
      </c>
      <c r="G20" s="19">
        <v>1</v>
      </c>
      <c r="H20" s="21">
        <v>14830.84</v>
      </c>
      <c r="I20" s="21">
        <f t="shared" si="0"/>
        <v>177970.08000000002</v>
      </c>
      <c r="J20" s="18">
        <v>12</v>
      </c>
      <c r="K20" s="21">
        <f>+I20/365*50</f>
        <v>24379.46301369863</v>
      </c>
      <c r="L20" s="21"/>
      <c r="M20" s="21">
        <f t="shared" si="2"/>
        <v>202349.54301369865</v>
      </c>
      <c r="N20" s="1"/>
    </row>
    <row r="21" spans="1:14" ht="15">
      <c r="A21" s="18" t="s">
        <v>220</v>
      </c>
      <c r="B21" s="18" t="s">
        <v>22</v>
      </c>
      <c r="C21" s="163"/>
      <c r="D21" s="19">
        <v>40</v>
      </c>
      <c r="E21" s="19" t="s">
        <v>19</v>
      </c>
      <c r="F21" s="19" t="s">
        <v>20</v>
      </c>
      <c r="G21" s="19">
        <v>1</v>
      </c>
      <c r="H21" s="21">
        <v>14830.84</v>
      </c>
      <c r="I21" s="21">
        <f t="shared" si="0"/>
        <v>177970.08000000002</v>
      </c>
      <c r="J21" s="18">
        <v>12</v>
      </c>
      <c r="K21" s="21">
        <f>+I21/365*50</f>
        <v>24379.46301369863</v>
      </c>
      <c r="L21" s="21"/>
      <c r="M21" s="21">
        <f t="shared" si="2"/>
        <v>202349.54301369865</v>
      </c>
      <c r="N21" s="1"/>
    </row>
    <row r="22" spans="1:14" ht="15">
      <c r="A22" s="18" t="s">
        <v>23</v>
      </c>
      <c r="B22" s="18" t="s">
        <v>24</v>
      </c>
      <c r="C22" s="163"/>
      <c r="D22" s="19">
        <v>40</v>
      </c>
      <c r="E22" s="19" t="s">
        <v>19</v>
      </c>
      <c r="F22" s="19" t="s">
        <v>20</v>
      </c>
      <c r="G22" s="19">
        <v>1</v>
      </c>
      <c r="H22" s="21">
        <v>79440.56</v>
      </c>
      <c r="I22" s="21">
        <f t="shared" si="0"/>
        <v>953286.72</v>
      </c>
      <c r="J22" s="18">
        <v>12</v>
      </c>
      <c r="K22" s="21">
        <f t="shared" si="1"/>
        <v>130587.22191780822</v>
      </c>
      <c r="L22" s="21"/>
      <c r="M22" s="21">
        <f t="shared" si="2"/>
        <v>1083873.9419178083</v>
      </c>
      <c r="N22" s="1"/>
    </row>
    <row r="23" spans="1:14" ht="15">
      <c r="A23" s="18" t="s">
        <v>25</v>
      </c>
      <c r="B23" s="18" t="s">
        <v>24</v>
      </c>
      <c r="C23" s="163"/>
      <c r="D23" s="19">
        <v>40</v>
      </c>
      <c r="E23" s="19" t="s">
        <v>19</v>
      </c>
      <c r="F23" s="19" t="s">
        <v>20</v>
      </c>
      <c r="G23" s="19">
        <v>1</v>
      </c>
      <c r="H23" s="21">
        <f>20800*1.05</f>
        <v>21840</v>
      </c>
      <c r="I23" s="21">
        <f t="shared" si="0"/>
        <v>262080</v>
      </c>
      <c r="J23" s="18">
        <v>12</v>
      </c>
      <c r="K23" s="21">
        <f t="shared" si="1"/>
        <v>35901.3698630137</v>
      </c>
      <c r="L23" s="21"/>
      <c r="M23" s="21">
        <f t="shared" si="2"/>
        <v>297981.3698630137</v>
      </c>
      <c r="N23" s="1"/>
    </row>
    <row r="24" spans="1:14" ht="15">
      <c r="A24" s="163" t="s">
        <v>218</v>
      </c>
      <c r="B24" s="163" t="s">
        <v>24</v>
      </c>
      <c r="C24" s="163"/>
      <c r="D24" s="164">
        <v>40</v>
      </c>
      <c r="E24" s="164" t="s">
        <v>19</v>
      </c>
      <c r="F24" s="164" t="s">
        <v>20</v>
      </c>
      <c r="G24" s="164">
        <v>1</v>
      </c>
      <c r="H24" s="166">
        <v>30554.08</v>
      </c>
      <c r="I24" s="166">
        <f t="shared" si="0"/>
        <v>366648.96</v>
      </c>
      <c r="J24" s="163">
        <v>12</v>
      </c>
      <c r="K24" s="166">
        <f>+I24/365*50</f>
        <v>50225.88493150685</v>
      </c>
      <c r="L24" s="166"/>
      <c r="M24" s="166">
        <f t="shared" si="2"/>
        <v>416874.8449315069</v>
      </c>
      <c r="N24" s="1"/>
    </row>
    <row r="25" spans="1:14" ht="15">
      <c r="A25" s="163" t="s">
        <v>26</v>
      </c>
      <c r="B25" s="163" t="s">
        <v>24</v>
      </c>
      <c r="C25" s="163"/>
      <c r="D25" s="164">
        <v>40</v>
      </c>
      <c r="E25" s="164" t="s">
        <v>27</v>
      </c>
      <c r="F25" s="164" t="s">
        <v>20</v>
      </c>
      <c r="G25" s="164">
        <v>1</v>
      </c>
      <c r="H25" s="166">
        <v>12385.8</v>
      </c>
      <c r="I25" s="166">
        <f aca="true" t="shared" si="3" ref="I25:I42">+H25*J25</f>
        <v>148629.59999999998</v>
      </c>
      <c r="J25" s="163">
        <v>12</v>
      </c>
      <c r="K25" s="166">
        <f t="shared" si="1"/>
        <v>20360.21917808219</v>
      </c>
      <c r="L25" s="166"/>
      <c r="M25" s="166">
        <f t="shared" si="2"/>
        <v>168989.81917808217</v>
      </c>
      <c r="N25" s="104"/>
    </row>
    <row r="26" spans="1:14" ht="15">
      <c r="A26" s="163" t="s">
        <v>28</v>
      </c>
      <c r="B26" s="163" t="s">
        <v>24</v>
      </c>
      <c r="C26" s="163"/>
      <c r="D26" s="164">
        <v>40</v>
      </c>
      <c r="E26" s="164" t="s">
        <v>27</v>
      </c>
      <c r="F26" s="164" t="s">
        <v>20</v>
      </c>
      <c r="G26" s="164">
        <v>1</v>
      </c>
      <c r="H26" s="166">
        <f>10266*1.05</f>
        <v>10779.300000000001</v>
      </c>
      <c r="I26" s="166">
        <f t="shared" si="3"/>
        <v>129351.6</v>
      </c>
      <c r="J26" s="163">
        <v>12</v>
      </c>
      <c r="K26" s="166">
        <f aca="true" t="shared" si="4" ref="K26:K40">+I26/365*50</f>
        <v>17719.397260273974</v>
      </c>
      <c r="L26" s="166"/>
      <c r="M26" s="166">
        <f t="shared" si="2"/>
        <v>147070.997260274</v>
      </c>
      <c r="N26" s="1"/>
    </row>
    <row r="27" spans="1:14" ht="15">
      <c r="A27" s="163" t="s">
        <v>31</v>
      </c>
      <c r="B27" s="163" t="s">
        <v>22</v>
      </c>
      <c r="C27" s="163"/>
      <c r="D27" s="164">
        <v>40</v>
      </c>
      <c r="E27" s="164" t="s">
        <v>19</v>
      </c>
      <c r="F27" s="164" t="s">
        <v>20</v>
      </c>
      <c r="G27" s="164">
        <v>1</v>
      </c>
      <c r="H27" s="166">
        <f>11640*1.05</f>
        <v>12222</v>
      </c>
      <c r="I27" s="166">
        <f t="shared" si="3"/>
        <v>36666</v>
      </c>
      <c r="J27" s="163">
        <v>3</v>
      </c>
      <c r="K27" s="166">
        <f t="shared" si="4"/>
        <v>5022.739726027397</v>
      </c>
      <c r="L27" s="166"/>
      <c r="M27" s="166">
        <f t="shared" si="2"/>
        <v>41688.7397260274</v>
      </c>
      <c r="N27" s="1"/>
    </row>
    <row r="28" spans="1:14" ht="15">
      <c r="A28" s="163" t="s">
        <v>252</v>
      </c>
      <c r="B28" s="163" t="s">
        <v>22</v>
      </c>
      <c r="C28" s="163"/>
      <c r="D28" s="164">
        <v>40</v>
      </c>
      <c r="E28" s="164" t="s">
        <v>19</v>
      </c>
      <c r="F28" s="164" t="s">
        <v>20</v>
      </c>
      <c r="G28" s="164">
        <v>1</v>
      </c>
      <c r="H28" s="166">
        <v>12221.62</v>
      </c>
      <c r="I28" s="166">
        <f t="shared" si="3"/>
        <v>146659.44</v>
      </c>
      <c r="J28" s="163">
        <v>12</v>
      </c>
      <c r="K28" s="166">
        <f t="shared" si="4"/>
        <v>20090.334246575345</v>
      </c>
      <c r="L28" s="166"/>
      <c r="M28" s="166">
        <f t="shared" si="2"/>
        <v>166749.77424657534</v>
      </c>
      <c r="N28" s="104"/>
    </row>
    <row r="29" spans="1:14" ht="15">
      <c r="A29" s="163" t="s">
        <v>171</v>
      </c>
      <c r="B29" s="163" t="s">
        <v>22</v>
      </c>
      <c r="C29" s="163"/>
      <c r="D29" s="164">
        <v>40</v>
      </c>
      <c r="E29" s="164" t="s">
        <v>19</v>
      </c>
      <c r="F29" s="164" t="s">
        <v>20</v>
      </c>
      <c r="G29" s="164">
        <v>1</v>
      </c>
      <c r="H29" s="166">
        <f>17624*1.05</f>
        <v>18505.2</v>
      </c>
      <c r="I29" s="166">
        <f>+H29*J29</f>
        <v>222062.40000000002</v>
      </c>
      <c r="J29" s="163">
        <v>12</v>
      </c>
      <c r="K29" s="166">
        <f>+I29/365*50</f>
        <v>30419.50684931507</v>
      </c>
      <c r="L29" s="166"/>
      <c r="M29" s="166">
        <f>+I29+K29</f>
        <v>252481.9068493151</v>
      </c>
      <c r="N29" s="1"/>
    </row>
    <row r="30" spans="1:14" ht="15">
      <c r="A30" s="163" t="s">
        <v>31</v>
      </c>
      <c r="B30" s="163" t="s">
        <v>22</v>
      </c>
      <c r="C30" s="163"/>
      <c r="D30" s="164">
        <v>40</v>
      </c>
      <c r="E30" s="164" t="s">
        <v>19</v>
      </c>
      <c r="F30" s="164" t="s">
        <v>20</v>
      </c>
      <c r="G30" s="164">
        <v>1</v>
      </c>
      <c r="H30" s="166">
        <v>12221.62</v>
      </c>
      <c r="I30" s="166">
        <f t="shared" si="3"/>
        <v>109994.58</v>
      </c>
      <c r="J30" s="163">
        <v>9</v>
      </c>
      <c r="K30" s="166">
        <f t="shared" si="4"/>
        <v>15067.750684931509</v>
      </c>
      <c r="L30" s="166"/>
      <c r="M30" s="166">
        <f t="shared" si="2"/>
        <v>125062.33068493151</v>
      </c>
      <c r="N30" s="1"/>
    </row>
    <row r="31" spans="1:14" ht="15">
      <c r="A31" s="163" t="s">
        <v>31</v>
      </c>
      <c r="B31" s="163" t="s">
        <v>22</v>
      </c>
      <c r="C31" s="163"/>
      <c r="D31" s="164">
        <v>40</v>
      </c>
      <c r="E31" s="164" t="s">
        <v>19</v>
      </c>
      <c r="F31" s="164" t="s">
        <v>20</v>
      </c>
      <c r="G31" s="164">
        <v>1</v>
      </c>
      <c r="H31" s="166">
        <v>12221.62</v>
      </c>
      <c r="I31" s="166">
        <f t="shared" si="3"/>
        <v>146659.44</v>
      </c>
      <c r="J31" s="163">
        <v>12</v>
      </c>
      <c r="K31" s="166">
        <f t="shared" si="4"/>
        <v>20090.334246575345</v>
      </c>
      <c r="L31" s="166"/>
      <c r="M31" s="166">
        <f t="shared" si="2"/>
        <v>166749.77424657534</v>
      </c>
      <c r="N31" s="1"/>
    </row>
    <row r="32" spans="1:14" ht="15">
      <c r="A32" s="163" t="s">
        <v>32</v>
      </c>
      <c r="B32" s="163" t="s">
        <v>33</v>
      </c>
      <c r="C32" s="163"/>
      <c r="D32" s="164">
        <v>40</v>
      </c>
      <c r="E32" s="164" t="s">
        <v>19</v>
      </c>
      <c r="F32" s="164" t="s">
        <v>20</v>
      </c>
      <c r="G32" s="164">
        <v>1</v>
      </c>
      <c r="H32" s="166">
        <v>30554.08</v>
      </c>
      <c r="I32" s="166">
        <f t="shared" si="3"/>
        <v>366648.96</v>
      </c>
      <c r="J32" s="163">
        <v>12</v>
      </c>
      <c r="K32" s="166">
        <f t="shared" si="4"/>
        <v>50225.88493150685</v>
      </c>
      <c r="L32" s="166"/>
      <c r="M32" s="166">
        <f t="shared" si="2"/>
        <v>416874.8449315069</v>
      </c>
      <c r="N32" s="1"/>
    </row>
    <row r="33" spans="1:14" ht="15">
      <c r="A33" s="163" t="s">
        <v>170</v>
      </c>
      <c r="B33" s="163" t="s">
        <v>33</v>
      </c>
      <c r="C33" s="163"/>
      <c r="D33" s="164">
        <v>40</v>
      </c>
      <c r="E33" s="164" t="s">
        <v>19</v>
      </c>
      <c r="F33" s="164" t="s">
        <v>20</v>
      </c>
      <c r="G33" s="164">
        <v>1</v>
      </c>
      <c r="H33" s="166">
        <f>18000*1.05</f>
        <v>18900</v>
      </c>
      <c r="I33" s="166">
        <f>+H33*J33</f>
        <v>226800</v>
      </c>
      <c r="J33" s="163">
        <v>12</v>
      </c>
      <c r="K33" s="166">
        <f>+I33/365*50</f>
        <v>31068.493150684928</v>
      </c>
      <c r="L33" s="166"/>
      <c r="M33" s="166">
        <f>+I33+K33</f>
        <v>257868.49315068492</v>
      </c>
      <c r="N33" s="1"/>
    </row>
    <row r="34" spans="1:14" ht="15">
      <c r="A34" s="163" t="s">
        <v>34</v>
      </c>
      <c r="B34" s="163" t="s">
        <v>33</v>
      </c>
      <c r="C34" s="163"/>
      <c r="D34" s="164">
        <v>40</v>
      </c>
      <c r="E34" s="164" t="s">
        <v>27</v>
      </c>
      <c r="F34" s="164" t="s">
        <v>20</v>
      </c>
      <c r="G34" s="164">
        <v>1</v>
      </c>
      <c r="H34" s="166">
        <f>10266*1.05</f>
        <v>10779.300000000001</v>
      </c>
      <c r="I34" s="166">
        <f t="shared" si="3"/>
        <v>129351.6</v>
      </c>
      <c r="J34" s="163">
        <v>12</v>
      </c>
      <c r="K34" s="166">
        <f t="shared" si="4"/>
        <v>17719.397260273974</v>
      </c>
      <c r="L34" s="166"/>
      <c r="M34" s="166">
        <f t="shared" si="2"/>
        <v>147070.997260274</v>
      </c>
      <c r="N34" s="1"/>
    </row>
    <row r="35" spans="1:14" ht="15">
      <c r="A35" s="163" t="s">
        <v>34</v>
      </c>
      <c r="B35" s="163" t="s">
        <v>33</v>
      </c>
      <c r="C35" s="163"/>
      <c r="D35" s="164">
        <v>40</v>
      </c>
      <c r="E35" s="164" t="s">
        <v>27</v>
      </c>
      <c r="F35" s="164" t="s">
        <v>20</v>
      </c>
      <c r="G35" s="164">
        <v>1</v>
      </c>
      <c r="H35" s="166">
        <f>10266*1.05</f>
        <v>10779.300000000001</v>
      </c>
      <c r="I35" s="166">
        <f t="shared" si="3"/>
        <v>129351.6</v>
      </c>
      <c r="J35" s="163">
        <v>12</v>
      </c>
      <c r="K35" s="166">
        <f t="shared" si="4"/>
        <v>17719.397260273974</v>
      </c>
      <c r="L35" s="166"/>
      <c r="M35" s="166">
        <f t="shared" si="2"/>
        <v>147070.997260274</v>
      </c>
      <c r="N35" s="1"/>
    </row>
    <row r="36" spans="1:14" ht="15">
      <c r="A36" s="163" t="s">
        <v>35</v>
      </c>
      <c r="B36" s="163" t="s">
        <v>33</v>
      </c>
      <c r="C36" s="163"/>
      <c r="D36" s="164">
        <v>40</v>
      </c>
      <c r="E36" s="164" t="s">
        <v>27</v>
      </c>
      <c r="F36" s="164" t="s">
        <v>20</v>
      </c>
      <c r="G36" s="164">
        <v>1</v>
      </c>
      <c r="H36" s="166">
        <v>7393</v>
      </c>
      <c r="I36" s="166">
        <f t="shared" si="3"/>
        <v>88716</v>
      </c>
      <c r="J36" s="163">
        <v>12</v>
      </c>
      <c r="K36" s="166">
        <f t="shared" si="4"/>
        <v>12152.876712328767</v>
      </c>
      <c r="L36" s="166"/>
      <c r="M36" s="166">
        <f t="shared" si="2"/>
        <v>100868.87671232877</v>
      </c>
      <c r="N36" s="1"/>
    </row>
    <row r="37" spans="1:14" ht="15">
      <c r="A37" s="163" t="s">
        <v>185</v>
      </c>
      <c r="B37" s="163" t="s">
        <v>33</v>
      </c>
      <c r="C37" s="163"/>
      <c r="D37" s="164">
        <v>40</v>
      </c>
      <c r="E37" s="164" t="s">
        <v>27</v>
      </c>
      <c r="F37" s="164" t="s">
        <v>20</v>
      </c>
      <c r="G37" s="164">
        <v>1</v>
      </c>
      <c r="H37" s="166">
        <f>7700*1.05</f>
        <v>8085</v>
      </c>
      <c r="I37" s="166">
        <f t="shared" si="3"/>
        <v>97020</v>
      </c>
      <c r="J37" s="163">
        <v>12</v>
      </c>
      <c r="K37" s="166">
        <f t="shared" si="4"/>
        <v>13290.410958904109</v>
      </c>
      <c r="L37" s="166"/>
      <c r="M37" s="166">
        <f t="shared" si="2"/>
        <v>110310.4109589041</v>
      </c>
      <c r="N37" s="1"/>
    </row>
    <row r="38" spans="1:14" ht="15">
      <c r="A38" s="163" t="s">
        <v>36</v>
      </c>
      <c r="B38" s="163" t="s">
        <v>37</v>
      </c>
      <c r="C38" s="163"/>
      <c r="D38" s="164">
        <v>40</v>
      </c>
      <c r="E38" s="164" t="s">
        <v>19</v>
      </c>
      <c r="F38" s="164" t="s">
        <v>20</v>
      </c>
      <c r="G38" s="164">
        <v>1</v>
      </c>
      <c r="H38" s="166">
        <v>26887.58</v>
      </c>
      <c r="I38" s="166">
        <f t="shared" si="3"/>
        <v>322650.96</v>
      </c>
      <c r="J38" s="163">
        <v>12</v>
      </c>
      <c r="K38" s="166">
        <f t="shared" si="4"/>
        <v>44198.76164383562</v>
      </c>
      <c r="L38" s="166"/>
      <c r="M38" s="166">
        <f t="shared" si="2"/>
        <v>366849.72164383566</v>
      </c>
      <c r="N38" s="1"/>
    </row>
    <row r="39" spans="1:14" ht="15">
      <c r="A39" s="163" t="s">
        <v>34</v>
      </c>
      <c r="B39" s="163" t="s">
        <v>37</v>
      </c>
      <c r="C39" s="163"/>
      <c r="D39" s="164">
        <v>40</v>
      </c>
      <c r="E39" s="164" t="s">
        <v>27</v>
      </c>
      <c r="F39" s="164" t="s">
        <v>20</v>
      </c>
      <c r="G39" s="164">
        <v>1</v>
      </c>
      <c r="H39" s="166">
        <v>13463.52</v>
      </c>
      <c r="I39" s="166">
        <f t="shared" si="3"/>
        <v>161562.24</v>
      </c>
      <c r="J39" s="163">
        <v>12</v>
      </c>
      <c r="K39" s="166">
        <f t="shared" si="4"/>
        <v>22131.813698630136</v>
      </c>
      <c r="L39" s="166"/>
      <c r="M39" s="166">
        <f t="shared" si="2"/>
        <v>183694.05369863013</v>
      </c>
      <c r="N39" s="104"/>
    </row>
    <row r="40" spans="1:14" ht="15">
      <c r="A40" s="18" t="s">
        <v>38</v>
      </c>
      <c r="B40" s="18" t="s">
        <v>39</v>
      </c>
      <c r="C40" s="18"/>
      <c r="D40" s="19">
        <v>40</v>
      </c>
      <c r="E40" s="19" t="s">
        <v>19</v>
      </c>
      <c r="F40" s="19" t="s">
        <v>20</v>
      </c>
      <c r="G40" s="19">
        <v>1</v>
      </c>
      <c r="H40" s="21">
        <v>17774</v>
      </c>
      <c r="I40" s="21">
        <f t="shared" si="3"/>
        <v>213288</v>
      </c>
      <c r="J40" s="18">
        <v>12</v>
      </c>
      <c r="K40" s="21">
        <f t="shared" si="4"/>
        <v>29217.534246575342</v>
      </c>
      <c r="L40" s="21"/>
      <c r="M40" s="21">
        <f t="shared" si="2"/>
        <v>242505.53424657535</v>
      </c>
      <c r="N40" s="104"/>
    </row>
    <row r="41" spans="1:14" ht="15">
      <c r="A41" s="18" t="s">
        <v>38</v>
      </c>
      <c r="B41" s="18" t="s">
        <v>40</v>
      </c>
      <c r="C41" s="18"/>
      <c r="D41" s="19">
        <v>40</v>
      </c>
      <c r="E41" s="19" t="s">
        <v>19</v>
      </c>
      <c r="F41" s="19" t="s">
        <v>20</v>
      </c>
      <c r="G41" s="19">
        <v>1</v>
      </c>
      <c r="H41" s="21">
        <f>19810*1.05</f>
        <v>20800.5</v>
      </c>
      <c r="I41" s="21">
        <f t="shared" si="3"/>
        <v>249606</v>
      </c>
      <c r="J41" s="18">
        <v>12</v>
      </c>
      <c r="K41" s="21">
        <f>+I41/365*50</f>
        <v>34192.602739726026</v>
      </c>
      <c r="L41" s="21"/>
      <c r="M41" s="21">
        <f aca="true" t="shared" si="5" ref="M41:M46">+I41+K41</f>
        <v>283798.602739726</v>
      </c>
      <c r="N41" s="1"/>
    </row>
    <row r="42" spans="1:14" ht="15">
      <c r="A42" s="18" t="s">
        <v>88</v>
      </c>
      <c r="B42" s="18" t="s">
        <v>221</v>
      </c>
      <c r="C42" s="18"/>
      <c r="D42" s="19">
        <v>40</v>
      </c>
      <c r="E42" s="19" t="s">
        <v>19</v>
      </c>
      <c r="F42" s="19" t="s">
        <v>20</v>
      </c>
      <c r="G42" s="19">
        <v>1</v>
      </c>
      <c r="H42" s="21">
        <v>17634</v>
      </c>
      <c r="I42" s="21">
        <f t="shared" si="3"/>
        <v>193974</v>
      </c>
      <c r="J42" s="18">
        <v>11</v>
      </c>
      <c r="K42" s="21">
        <f>+I42/365*50</f>
        <v>26571.78082191781</v>
      </c>
      <c r="L42" s="21"/>
      <c r="M42" s="21">
        <f t="shared" si="5"/>
        <v>220545.7808219178</v>
      </c>
      <c r="N42" s="104"/>
    </row>
    <row r="43" spans="1:14" ht="15">
      <c r="A43" s="18" t="s">
        <v>191</v>
      </c>
      <c r="B43" s="18" t="s">
        <v>51</v>
      </c>
      <c r="C43" s="18"/>
      <c r="D43" s="19">
        <v>40</v>
      </c>
      <c r="E43" s="19" t="s">
        <v>19</v>
      </c>
      <c r="F43" s="19" t="s">
        <v>20</v>
      </c>
      <c r="G43" s="19">
        <v>1</v>
      </c>
      <c r="H43" s="21">
        <f>18340*1.05</f>
        <v>19257</v>
      </c>
      <c r="I43" s="21">
        <f>+H43*J43</f>
        <v>231084</v>
      </c>
      <c r="J43" s="18">
        <v>12</v>
      </c>
      <c r="K43" s="21">
        <f>+I43/365*50</f>
        <v>31655.342465753427</v>
      </c>
      <c r="L43" s="21"/>
      <c r="M43" s="21">
        <f t="shared" si="5"/>
        <v>262739.34246575343</v>
      </c>
      <c r="N43" s="1"/>
    </row>
    <row r="44" spans="1:14" ht="15">
      <c r="A44" s="18" t="s">
        <v>183</v>
      </c>
      <c r="B44" s="18" t="s">
        <v>184</v>
      </c>
      <c r="C44" s="18"/>
      <c r="D44" s="19">
        <v>40</v>
      </c>
      <c r="E44" s="19" t="s">
        <v>27</v>
      </c>
      <c r="F44" s="19" t="s">
        <v>20</v>
      </c>
      <c r="G44" s="19">
        <v>1</v>
      </c>
      <c r="H44" s="20">
        <v>7937.06</v>
      </c>
      <c r="I44" s="21">
        <f>+H44*J44</f>
        <v>95244.72</v>
      </c>
      <c r="J44" s="18">
        <v>12</v>
      </c>
      <c r="K44" s="21">
        <f>+I44/365*50</f>
        <v>13047.221917808218</v>
      </c>
      <c r="L44" s="21"/>
      <c r="M44" s="21">
        <f t="shared" si="5"/>
        <v>108291.94191780822</v>
      </c>
      <c r="N44" s="104"/>
    </row>
    <row r="45" spans="1:14" ht="15">
      <c r="A45" s="18" t="s">
        <v>183</v>
      </c>
      <c r="B45" s="18" t="s">
        <v>184</v>
      </c>
      <c r="C45" s="18"/>
      <c r="D45" s="19">
        <v>40</v>
      </c>
      <c r="E45" s="19" t="s">
        <v>27</v>
      </c>
      <c r="F45" s="19" t="s">
        <v>20</v>
      </c>
      <c r="G45" s="19">
        <v>1</v>
      </c>
      <c r="H45" s="20">
        <v>7928.84</v>
      </c>
      <c r="I45" s="21">
        <f>+H45*J45</f>
        <v>95146.08</v>
      </c>
      <c r="J45" s="18">
        <v>12</v>
      </c>
      <c r="K45" s="21">
        <f>+I45/365*50</f>
        <v>13033.709589041095</v>
      </c>
      <c r="L45" s="21"/>
      <c r="M45" s="21">
        <f t="shared" si="5"/>
        <v>108179.7895890411</v>
      </c>
      <c r="N45" s="104"/>
    </row>
    <row r="46" spans="1:14" ht="15.75" thickBot="1">
      <c r="A46" s="135"/>
      <c r="B46" s="136"/>
      <c r="C46" s="136"/>
      <c r="D46" s="137"/>
      <c r="E46" s="137"/>
      <c r="F46" s="137"/>
      <c r="G46" s="137"/>
      <c r="H46" s="138"/>
      <c r="I46" s="91"/>
      <c r="J46" s="136"/>
      <c r="K46" s="91"/>
      <c r="L46" s="138"/>
      <c r="M46" s="132">
        <f t="shared" si="5"/>
        <v>0</v>
      </c>
      <c r="N46" s="1"/>
    </row>
    <row r="47" spans="1:14" ht="15.75" thickBot="1">
      <c r="A47" s="115"/>
      <c r="B47" s="116"/>
      <c r="C47" s="116"/>
      <c r="D47" s="117" t="s">
        <v>43</v>
      </c>
      <c r="E47" s="118"/>
      <c r="F47" s="117"/>
      <c r="G47" s="117">
        <v>42</v>
      </c>
      <c r="H47" s="119">
        <f>SUM(H6:H46)</f>
        <v>910825.29</v>
      </c>
      <c r="I47" s="119">
        <f>SUM(I6:I46)</f>
        <v>10765606.620000001</v>
      </c>
      <c r="J47" s="120"/>
      <c r="K47" s="119">
        <f>SUM(K6:K46)</f>
        <v>1474740.632876712</v>
      </c>
      <c r="L47" s="119"/>
      <c r="M47" s="119">
        <f>SUM(M6:M46)</f>
        <v>12240347.252876716</v>
      </c>
      <c r="N47" s="1"/>
    </row>
    <row r="48" spans="1:14" ht="20.25">
      <c r="A48" s="121" t="s">
        <v>44</v>
      </c>
      <c r="B48" s="122"/>
      <c r="C48" s="122"/>
      <c r="D48" s="123"/>
      <c r="E48" s="123"/>
      <c r="F48" s="123"/>
      <c r="G48" s="123"/>
      <c r="H48" s="124"/>
      <c r="I48" s="124"/>
      <c r="J48" s="122"/>
      <c r="K48" s="124"/>
      <c r="L48" s="124"/>
      <c r="M48" s="124"/>
      <c r="N48" s="1"/>
    </row>
    <row r="49" spans="1:14" ht="15">
      <c r="A49" s="18" t="s">
        <v>71</v>
      </c>
      <c r="B49" s="18" t="s">
        <v>24</v>
      </c>
      <c r="C49" s="18"/>
      <c r="D49" s="19">
        <v>8</v>
      </c>
      <c r="E49" s="19" t="s">
        <v>45</v>
      </c>
      <c r="F49" s="19" t="s">
        <v>20</v>
      </c>
      <c r="G49" s="19">
        <v>6</v>
      </c>
      <c r="H49" s="21">
        <v>9852</v>
      </c>
      <c r="I49" s="21">
        <f>+H49*J49</f>
        <v>59112</v>
      </c>
      <c r="J49" s="18">
        <v>6</v>
      </c>
      <c r="K49" s="21">
        <f>+I49/365*50</f>
        <v>8097.534246575343</v>
      </c>
      <c r="L49" s="21"/>
      <c r="M49" s="21">
        <f>+I49+K49</f>
        <v>67209.53424657535</v>
      </c>
      <c r="N49" s="104"/>
    </row>
    <row r="50" spans="1:14" ht="15">
      <c r="A50" s="18" t="s">
        <v>71</v>
      </c>
      <c r="B50" s="18" t="s">
        <v>24</v>
      </c>
      <c r="C50" s="18"/>
      <c r="D50" s="19">
        <v>8</v>
      </c>
      <c r="E50" s="19" t="s">
        <v>45</v>
      </c>
      <c r="F50" s="19" t="s">
        <v>20</v>
      </c>
      <c r="G50" s="19">
        <v>1</v>
      </c>
      <c r="H50" s="21">
        <f>6780*1.05</f>
        <v>7119</v>
      </c>
      <c r="I50" s="21">
        <f>+H50*J50</f>
        <v>21357</v>
      </c>
      <c r="J50" s="18">
        <v>3</v>
      </c>
      <c r="K50" s="21">
        <f>+I50/365*50</f>
        <v>2925.6164383561645</v>
      </c>
      <c r="L50" s="21"/>
      <c r="M50" s="21">
        <f aca="true" t="shared" si="6" ref="M50:M84">+I50+K50</f>
        <v>24282.616438356163</v>
      </c>
      <c r="N50" s="1"/>
    </row>
    <row r="51" spans="1:14" ht="15">
      <c r="A51" s="18" t="s">
        <v>71</v>
      </c>
      <c r="B51" s="18" t="s">
        <v>24</v>
      </c>
      <c r="C51" s="18"/>
      <c r="D51" s="19">
        <v>8</v>
      </c>
      <c r="E51" s="19" t="s">
        <v>45</v>
      </c>
      <c r="F51" s="19" t="s">
        <v>20</v>
      </c>
      <c r="G51" s="19">
        <v>1</v>
      </c>
      <c r="H51" s="21">
        <v>9562.74</v>
      </c>
      <c r="I51" s="21">
        <f aca="true" t="shared" si="7" ref="I51:I84">+H51*J51</f>
        <v>114752.88</v>
      </c>
      <c r="J51" s="18">
        <v>12</v>
      </c>
      <c r="K51" s="21">
        <f aca="true" t="shared" si="8" ref="K51:K84">+I51/365*50</f>
        <v>15719.572602739725</v>
      </c>
      <c r="L51" s="21"/>
      <c r="M51" s="21">
        <f t="shared" si="6"/>
        <v>130472.45260273974</v>
      </c>
      <c r="N51" s="104"/>
    </row>
    <row r="52" spans="1:14" ht="15">
      <c r="A52" s="18" t="s">
        <v>71</v>
      </c>
      <c r="B52" s="18" t="s">
        <v>24</v>
      </c>
      <c r="C52" s="18"/>
      <c r="D52" s="19">
        <v>8</v>
      </c>
      <c r="E52" s="19" t="s">
        <v>45</v>
      </c>
      <c r="F52" s="19" t="s">
        <v>20</v>
      </c>
      <c r="G52" s="19">
        <v>1</v>
      </c>
      <c r="H52" s="21">
        <v>8147.76</v>
      </c>
      <c r="I52" s="21">
        <f t="shared" si="7"/>
        <v>97773.12</v>
      </c>
      <c r="J52" s="18">
        <v>12</v>
      </c>
      <c r="K52" s="21">
        <f t="shared" si="8"/>
        <v>13393.57808219178</v>
      </c>
      <c r="L52" s="21"/>
      <c r="M52" s="21">
        <f t="shared" si="6"/>
        <v>111166.69808219178</v>
      </c>
      <c r="N52" s="1"/>
    </row>
    <row r="53" spans="1:14" ht="15">
      <c r="A53" s="18" t="s">
        <v>71</v>
      </c>
      <c r="B53" s="18" t="s">
        <v>24</v>
      </c>
      <c r="C53" s="18"/>
      <c r="D53" s="19">
        <v>8</v>
      </c>
      <c r="E53" s="19" t="s">
        <v>45</v>
      </c>
      <c r="F53" s="19" t="s">
        <v>20</v>
      </c>
      <c r="G53" s="19">
        <v>1</v>
      </c>
      <c r="H53" s="21">
        <f>6690*1.05</f>
        <v>7024.5</v>
      </c>
      <c r="I53" s="21">
        <f t="shared" si="7"/>
        <v>84294</v>
      </c>
      <c r="J53" s="18">
        <v>12</v>
      </c>
      <c r="K53" s="21">
        <f t="shared" si="8"/>
        <v>11547.123287671233</v>
      </c>
      <c r="L53" s="21"/>
      <c r="M53" s="21">
        <f t="shared" si="6"/>
        <v>95841.12328767123</v>
      </c>
      <c r="N53" s="1"/>
    </row>
    <row r="54" spans="1:14" ht="15">
      <c r="A54" s="18" t="s">
        <v>71</v>
      </c>
      <c r="B54" s="18" t="s">
        <v>24</v>
      </c>
      <c r="C54" s="18"/>
      <c r="D54" s="19">
        <v>8</v>
      </c>
      <c r="E54" s="19" t="s">
        <v>45</v>
      </c>
      <c r="F54" s="19" t="s">
        <v>20</v>
      </c>
      <c r="G54" s="19">
        <v>1</v>
      </c>
      <c r="H54" s="21">
        <v>7936.96</v>
      </c>
      <c r="I54" s="21">
        <f>+H54*J54</f>
        <v>95243.52</v>
      </c>
      <c r="J54" s="18">
        <v>12</v>
      </c>
      <c r="K54" s="21">
        <f>+I54/365*50</f>
        <v>13047.057534246576</v>
      </c>
      <c r="L54" s="21"/>
      <c r="M54" s="21">
        <f>+I54+K54</f>
        <v>108290.57753424658</v>
      </c>
      <c r="N54" s="104"/>
    </row>
    <row r="55" spans="1:14" ht="15">
      <c r="A55" s="18" t="s">
        <v>71</v>
      </c>
      <c r="B55" s="18" t="s">
        <v>24</v>
      </c>
      <c r="C55" s="18"/>
      <c r="D55" s="19">
        <v>8</v>
      </c>
      <c r="E55" s="19" t="s">
        <v>45</v>
      </c>
      <c r="F55" s="19" t="s">
        <v>20</v>
      </c>
      <c r="G55" s="19">
        <v>1</v>
      </c>
      <c r="H55" s="21">
        <v>7937.06</v>
      </c>
      <c r="I55" s="21">
        <f>+H55*J55</f>
        <v>95244.72</v>
      </c>
      <c r="J55" s="18">
        <v>12</v>
      </c>
      <c r="K55" s="21">
        <f>+I55/365*50</f>
        <v>13047.221917808218</v>
      </c>
      <c r="L55" s="21"/>
      <c r="M55" s="21">
        <f>+I55+K55</f>
        <v>108291.94191780822</v>
      </c>
      <c r="N55" s="104"/>
    </row>
    <row r="56" spans="1:14" ht="15">
      <c r="A56" s="18" t="s">
        <v>30</v>
      </c>
      <c r="B56" s="18" t="s">
        <v>24</v>
      </c>
      <c r="C56" s="18"/>
      <c r="D56" s="19">
        <v>8</v>
      </c>
      <c r="E56" s="19" t="s">
        <v>45</v>
      </c>
      <c r="F56" s="19" t="s">
        <v>20</v>
      </c>
      <c r="G56" s="19">
        <v>1</v>
      </c>
      <c r="H56" s="21">
        <f>6580*1.05</f>
        <v>6909</v>
      </c>
      <c r="I56" s="21">
        <f t="shared" si="7"/>
        <v>82908</v>
      </c>
      <c r="J56" s="18">
        <v>12</v>
      </c>
      <c r="K56" s="21">
        <f t="shared" si="8"/>
        <v>11357.260273972603</v>
      </c>
      <c r="L56" s="21"/>
      <c r="M56" s="21">
        <f t="shared" si="6"/>
        <v>94265.2602739726</v>
      </c>
      <c r="N56" s="1"/>
    </row>
    <row r="57" spans="1:14" ht="15">
      <c r="A57" s="18" t="s">
        <v>30</v>
      </c>
      <c r="B57" s="18" t="s">
        <v>24</v>
      </c>
      <c r="C57" s="18"/>
      <c r="D57" s="19">
        <v>8</v>
      </c>
      <c r="E57" s="19" t="s">
        <v>45</v>
      </c>
      <c r="F57" s="19" t="s">
        <v>20</v>
      </c>
      <c r="G57" s="19">
        <v>1</v>
      </c>
      <c r="H57" s="21">
        <f>6580*1.05</f>
        <v>6909</v>
      </c>
      <c r="I57" s="21">
        <f t="shared" si="7"/>
        <v>82908</v>
      </c>
      <c r="J57" s="18">
        <v>12</v>
      </c>
      <c r="K57" s="21">
        <f t="shared" si="8"/>
        <v>11357.260273972603</v>
      </c>
      <c r="L57" s="21"/>
      <c r="M57" s="21">
        <f t="shared" si="6"/>
        <v>94265.2602739726</v>
      </c>
      <c r="N57" s="1"/>
    </row>
    <row r="58" spans="1:14" ht="15">
      <c r="A58" s="18" t="s">
        <v>42</v>
      </c>
      <c r="B58" s="18" t="s">
        <v>29</v>
      </c>
      <c r="C58" s="18"/>
      <c r="D58" s="19">
        <v>8</v>
      </c>
      <c r="E58" s="19" t="s">
        <v>45</v>
      </c>
      <c r="F58" s="19" t="s">
        <v>20</v>
      </c>
      <c r="G58" s="19">
        <v>1</v>
      </c>
      <c r="H58" s="21">
        <f>8730*1.05</f>
        <v>9166.5</v>
      </c>
      <c r="I58" s="21">
        <f t="shared" si="7"/>
        <v>27499.5</v>
      </c>
      <c r="J58" s="18">
        <v>3</v>
      </c>
      <c r="K58" s="21">
        <f t="shared" si="8"/>
        <v>3767.0547945205476</v>
      </c>
      <c r="L58" s="21"/>
      <c r="M58" s="21">
        <f t="shared" si="6"/>
        <v>31266.554794520547</v>
      </c>
      <c r="N58" s="1"/>
    </row>
    <row r="59" spans="1:14" ht="15">
      <c r="A59" s="18" t="s">
        <v>192</v>
      </c>
      <c r="B59" s="18" t="s">
        <v>24</v>
      </c>
      <c r="C59" s="18"/>
      <c r="D59" s="19">
        <v>8</v>
      </c>
      <c r="E59" s="19" t="s">
        <v>45</v>
      </c>
      <c r="F59" s="19" t="s">
        <v>20</v>
      </c>
      <c r="G59" s="19">
        <v>1</v>
      </c>
      <c r="H59" s="21">
        <v>7406.4</v>
      </c>
      <c r="I59" s="21">
        <f t="shared" si="7"/>
        <v>88876.79999999999</v>
      </c>
      <c r="J59" s="18">
        <v>12</v>
      </c>
      <c r="K59" s="21">
        <f t="shared" si="8"/>
        <v>12174.904109589039</v>
      </c>
      <c r="L59" s="21"/>
      <c r="M59" s="21">
        <f t="shared" si="6"/>
        <v>101051.70410958903</v>
      </c>
      <c r="N59" s="104"/>
    </row>
    <row r="60" spans="1:14" ht="15">
      <c r="A60" s="18" t="s">
        <v>192</v>
      </c>
      <c r="B60" s="18" t="s">
        <v>24</v>
      </c>
      <c r="C60" s="18"/>
      <c r="D60" s="19">
        <v>8</v>
      </c>
      <c r="E60" s="19" t="s">
        <v>45</v>
      </c>
      <c r="F60" s="19" t="s">
        <v>20</v>
      </c>
      <c r="G60" s="19">
        <v>1</v>
      </c>
      <c r="H60" s="21">
        <v>6306.2</v>
      </c>
      <c r="I60" s="21">
        <f t="shared" si="7"/>
        <v>75674.4</v>
      </c>
      <c r="J60" s="18">
        <v>12</v>
      </c>
      <c r="K60" s="21">
        <f t="shared" si="8"/>
        <v>10366.35616438356</v>
      </c>
      <c r="L60" s="21"/>
      <c r="M60" s="21">
        <f t="shared" si="6"/>
        <v>86040.75616438355</v>
      </c>
      <c r="N60" s="1"/>
    </row>
    <row r="61" spans="1:14" ht="15">
      <c r="A61" s="18" t="s">
        <v>166</v>
      </c>
      <c r="B61" s="18" t="s">
        <v>159</v>
      </c>
      <c r="C61" s="18"/>
      <c r="D61" s="19">
        <v>8</v>
      </c>
      <c r="E61" s="19" t="s">
        <v>45</v>
      </c>
      <c r="F61" s="19" t="s">
        <v>20</v>
      </c>
      <c r="G61" s="19">
        <v>1</v>
      </c>
      <c r="H61" s="21">
        <v>7980.65</v>
      </c>
      <c r="I61" s="21">
        <f t="shared" si="7"/>
        <v>95767.79999999999</v>
      </c>
      <c r="J61" s="18">
        <v>12</v>
      </c>
      <c r="K61" s="21">
        <f t="shared" si="8"/>
        <v>13118.876712328765</v>
      </c>
      <c r="L61" s="21"/>
      <c r="M61" s="21">
        <f t="shared" si="6"/>
        <v>108886.67671232876</v>
      </c>
      <c r="N61" s="1"/>
    </row>
    <row r="62" spans="1:14" ht="15">
      <c r="A62" s="18" t="s">
        <v>193</v>
      </c>
      <c r="B62" s="18" t="s">
        <v>159</v>
      </c>
      <c r="C62" s="18"/>
      <c r="D62" s="19">
        <v>8</v>
      </c>
      <c r="E62" s="19" t="s">
        <v>45</v>
      </c>
      <c r="F62" s="19" t="s">
        <v>20</v>
      </c>
      <c r="G62" s="19">
        <v>1</v>
      </c>
      <c r="H62" s="21">
        <f>8530*1.05</f>
        <v>8956.5</v>
      </c>
      <c r="I62" s="21">
        <f t="shared" si="7"/>
        <v>107478</v>
      </c>
      <c r="J62" s="18">
        <v>12</v>
      </c>
      <c r="K62" s="21">
        <f t="shared" si="8"/>
        <v>14723.013698630137</v>
      </c>
      <c r="L62" s="21"/>
      <c r="M62" s="21">
        <f t="shared" si="6"/>
        <v>122201.01369863014</v>
      </c>
      <c r="N62" s="1"/>
    </row>
    <row r="63" spans="1:14" ht="15">
      <c r="A63" s="18" t="s">
        <v>193</v>
      </c>
      <c r="B63" s="18" t="s">
        <v>159</v>
      </c>
      <c r="C63" s="18"/>
      <c r="D63" s="19">
        <v>8</v>
      </c>
      <c r="E63" s="19" t="s">
        <v>45</v>
      </c>
      <c r="F63" s="19" t="s">
        <v>20</v>
      </c>
      <c r="G63" s="19">
        <v>1</v>
      </c>
      <c r="H63" s="21">
        <v>7132</v>
      </c>
      <c r="I63" s="21">
        <f t="shared" si="7"/>
        <v>85584</v>
      </c>
      <c r="J63" s="18">
        <v>12</v>
      </c>
      <c r="K63" s="21">
        <f t="shared" si="8"/>
        <v>11723.835616438357</v>
      </c>
      <c r="L63" s="21"/>
      <c r="M63" s="21">
        <f t="shared" si="6"/>
        <v>97307.83561643836</v>
      </c>
      <c r="N63" s="1"/>
    </row>
    <row r="64" spans="1:14" ht="15">
      <c r="A64" s="18" t="s">
        <v>193</v>
      </c>
      <c r="B64" s="18" t="s">
        <v>159</v>
      </c>
      <c r="C64" s="18"/>
      <c r="D64" s="19">
        <v>8</v>
      </c>
      <c r="E64" s="19" t="s">
        <v>45</v>
      </c>
      <c r="F64" s="19" t="s">
        <v>20</v>
      </c>
      <c r="G64" s="19">
        <v>1</v>
      </c>
      <c r="H64" s="21">
        <v>8954.06</v>
      </c>
      <c r="I64" s="21">
        <f t="shared" si="7"/>
        <v>107448.72</v>
      </c>
      <c r="J64" s="18">
        <v>12</v>
      </c>
      <c r="K64" s="21">
        <f t="shared" si="8"/>
        <v>14719.002739726027</v>
      </c>
      <c r="L64" s="21"/>
      <c r="M64" s="21">
        <f t="shared" si="6"/>
        <v>122167.72273972603</v>
      </c>
      <c r="N64" s="1"/>
    </row>
    <row r="65" spans="1:14" ht="15">
      <c r="A65" s="18" t="s">
        <v>193</v>
      </c>
      <c r="B65" s="18" t="s">
        <v>159</v>
      </c>
      <c r="C65" s="18"/>
      <c r="D65" s="19">
        <v>8</v>
      </c>
      <c r="E65" s="19" t="s">
        <v>45</v>
      </c>
      <c r="F65" s="19" t="s">
        <v>20</v>
      </c>
      <c r="G65" s="19">
        <v>1</v>
      </c>
      <c r="H65" s="21">
        <f>9911*1.05</f>
        <v>10406.550000000001</v>
      </c>
      <c r="I65" s="21">
        <f t="shared" si="7"/>
        <v>124878.6</v>
      </c>
      <c r="J65" s="18">
        <v>12</v>
      </c>
      <c r="K65" s="21">
        <f t="shared" si="8"/>
        <v>17106.657534246577</v>
      </c>
      <c r="L65" s="21"/>
      <c r="M65" s="21">
        <f t="shared" si="6"/>
        <v>141985.25753424657</v>
      </c>
      <c r="N65" s="1"/>
    </row>
    <row r="66" spans="1:14" ht="15">
      <c r="A66" s="18" t="s">
        <v>193</v>
      </c>
      <c r="B66" s="18" t="s">
        <v>159</v>
      </c>
      <c r="C66" s="18"/>
      <c r="D66" s="19">
        <v>8</v>
      </c>
      <c r="E66" s="19" t="s">
        <v>45</v>
      </c>
      <c r="F66" s="19" t="s">
        <v>20</v>
      </c>
      <c r="G66" s="19">
        <v>1</v>
      </c>
      <c r="H66" s="21">
        <v>6306.2</v>
      </c>
      <c r="I66" s="21">
        <f t="shared" si="7"/>
        <v>75674.4</v>
      </c>
      <c r="J66" s="18">
        <v>12</v>
      </c>
      <c r="K66" s="21">
        <f t="shared" si="8"/>
        <v>10366.35616438356</v>
      </c>
      <c r="L66" s="21"/>
      <c r="M66" s="21">
        <f t="shared" si="6"/>
        <v>86040.75616438355</v>
      </c>
      <c r="N66" s="1"/>
    </row>
    <row r="67" spans="1:14" ht="15">
      <c r="A67" s="18" t="s">
        <v>193</v>
      </c>
      <c r="B67" s="18" t="s">
        <v>159</v>
      </c>
      <c r="C67" s="18"/>
      <c r="D67" s="19">
        <v>8</v>
      </c>
      <c r="E67" s="19" t="s">
        <v>45</v>
      </c>
      <c r="F67" s="19" t="s">
        <v>20</v>
      </c>
      <c r="G67" s="19">
        <v>1</v>
      </c>
      <c r="H67" s="21">
        <f>7300*1.05</f>
        <v>7665</v>
      </c>
      <c r="I67" s="21">
        <f t="shared" si="7"/>
        <v>91980</v>
      </c>
      <c r="J67" s="18">
        <v>12</v>
      </c>
      <c r="K67" s="21">
        <f t="shared" si="8"/>
        <v>12600</v>
      </c>
      <c r="L67" s="21"/>
      <c r="M67" s="21">
        <f t="shared" si="6"/>
        <v>104580</v>
      </c>
      <c r="N67" s="1"/>
    </row>
    <row r="68" spans="1:14" ht="15">
      <c r="A68" s="18" t="s">
        <v>193</v>
      </c>
      <c r="B68" s="18" t="s">
        <v>159</v>
      </c>
      <c r="C68" s="18"/>
      <c r="D68" s="19">
        <v>8</v>
      </c>
      <c r="E68" s="19" t="s">
        <v>45</v>
      </c>
      <c r="F68" s="19" t="s">
        <v>20</v>
      </c>
      <c r="G68" s="19">
        <v>1</v>
      </c>
      <c r="H68" s="21">
        <f>8221*1.05</f>
        <v>8632.050000000001</v>
      </c>
      <c r="I68" s="21">
        <f>+H68*J68</f>
        <v>103584.6</v>
      </c>
      <c r="J68" s="18">
        <v>12</v>
      </c>
      <c r="K68" s="21">
        <f>+I68/365*50</f>
        <v>14189.671232876713</v>
      </c>
      <c r="L68" s="21"/>
      <c r="M68" s="21">
        <f>+I68+K68</f>
        <v>117774.27123287672</v>
      </c>
      <c r="N68" s="1"/>
    </row>
    <row r="69" spans="1:14" ht="15">
      <c r="A69" s="18" t="s">
        <v>193</v>
      </c>
      <c r="B69" s="18" t="s">
        <v>159</v>
      </c>
      <c r="C69" s="18"/>
      <c r="D69" s="19">
        <v>8</v>
      </c>
      <c r="E69" s="19" t="s">
        <v>45</v>
      </c>
      <c r="F69" s="19" t="s">
        <v>20</v>
      </c>
      <c r="G69" s="19">
        <v>1</v>
      </c>
      <c r="H69" s="21">
        <v>7406.4</v>
      </c>
      <c r="I69" s="21">
        <f t="shared" si="7"/>
        <v>88876.79999999999</v>
      </c>
      <c r="J69" s="18">
        <v>12</v>
      </c>
      <c r="K69" s="21">
        <f t="shared" si="8"/>
        <v>12174.904109589039</v>
      </c>
      <c r="L69" s="21"/>
      <c r="M69" s="21">
        <f t="shared" si="6"/>
        <v>101051.70410958903</v>
      </c>
      <c r="N69" s="1"/>
    </row>
    <row r="70" spans="1:14" ht="15">
      <c r="A70" s="18" t="s">
        <v>193</v>
      </c>
      <c r="B70" s="18" t="s">
        <v>159</v>
      </c>
      <c r="C70" s="18"/>
      <c r="D70" s="19">
        <v>8</v>
      </c>
      <c r="E70" s="19" t="s">
        <v>45</v>
      </c>
      <c r="F70" s="19" t="s">
        <v>20</v>
      </c>
      <c r="G70" s="19">
        <v>1</v>
      </c>
      <c r="H70" s="21">
        <v>7406.4</v>
      </c>
      <c r="I70" s="21">
        <f aca="true" t="shared" si="9" ref="I70:I82">+H70*J70</f>
        <v>88876.79999999999</v>
      </c>
      <c r="J70" s="18">
        <v>12</v>
      </c>
      <c r="K70" s="21">
        <f aca="true" t="shared" si="10" ref="K70:K82">+I70/365*50</f>
        <v>12174.904109589039</v>
      </c>
      <c r="L70" s="21"/>
      <c r="M70" s="21">
        <f aca="true" t="shared" si="11" ref="M70:M82">+I70+K70</f>
        <v>101051.70410958903</v>
      </c>
      <c r="N70" s="104"/>
    </row>
    <row r="71" spans="1:13" ht="15">
      <c r="A71" s="133" t="s">
        <v>253</v>
      </c>
      <c r="B71" s="18" t="s">
        <v>159</v>
      </c>
      <c r="C71" s="18"/>
      <c r="D71" s="19">
        <v>8</v>
      </c>
      <c r="E71" s="19" t="s">
        <v>45</v>
      </c>
      <c r="F71" s="19" t="s">
        <v>20</v>
      </c>
      <c r="G71" s="19">
        <v>1</v>
      </c>
      <c r="H71" s="134">
        <v>7175.53</v>
      </c>
      <c r="I71" s="21">
        <f t="shared" si="9"/>
        <v>86106.36</v>
      </c>
      <c r="J71" s="18">
        <v>12</v>
      </c>
      <c r="K71" s="21">
        <f t="shared" si="10"/>
        <v>11795.391780821918</v>
      </c>
      <c r="L71" s="21"/>
      <c r="M71" s="21">
        <f t="shared" si="11"/>
        <v>97901.75178082191</v>
      </c>
    </row>
    <row r="72" spans="1:13" ht="15">
      <c r="A72" s="133" t="s">
        <v>253</v>
      </c>
      <c r="B72" s="18" t="s">
        <v>159</v>
      </c>
      <c r="C72" s="18"/>
      <c r="D72" s="19">
        <v>8</v>
      </c>
      <c r="E72" s="19" t="s">
        <v>45</v>
      </c>
      <c r="F72" s="19" t="s">
        <v>20</v>
      </c>
      <c r="G72" s="19">
        <v>1</v>
      </c>
      <c r="H72" s="134">
        <v>13266</v>
      </c>
      <c r="I72" s="21">
        <f t="shared" si="9"/>
        <v>159192</v>
      </c>
      <c r="J72" s="18">
        <v>12</v>
      </c>
      <c r="K72" s="21">
        <f t="shared" si="10"/>
        <v>21807.12328767123</v>
      </c>
      <c r="L72" s="21"/>
      <c r="M72" s="21">
        <f t="shared" si="11"/>
        <v>180999.12328767125</v>
      </c>
    </row>
    <row r="73" spans="1:13" ht="15">
      <c r="A73" s="133" t="s">
        <v>253</v>
      </c>
      <c r="B73" s="18" t="s">
        <v>159</v>
      </c>
      <c r="C73" s="18"/>
      <c r="D73" s="19">
        <v>8</v>
      </c>
      <c r="E73" s="19" t="s">
        <v>45</v>
      </c>
      <c r="F73" s="19" t="s">
        <v>20</v>
      </c>
      <c r="G73" s="19">
        <v>1</v>
      </c>
      <c r="H73" s="134">
        <v>8920.32</v>
      </c>
      <c r="I73" s="21">
        <f t="shared" si="9"/>
        <v>107043.84</v>
      </c>
      <c r="J73" s="18">
        <v>12</v>
      </c>
      <c r="K73" s="21">
        <f t="shared" si="10"/>
        <v>14663.539726027397</v>
      </c>
      <c r="L73" s="21"/>
      <c r="M73" s="21">
        <f t="shared" si="11"/>
        <v>121707.3797260274</v>
      </c>
    </row>
    <row r="74" spans="1:13" ht="15">
      <c r="A74" s="133" t="s">
        <v>260</v>
      </c>
      <c r="B74" s="18" t="s">
        <v>159</v>
      </c>
      <c r="C74" s="18"/>
      <c r="D74" s="19">
        <v>8</v>
      </c>
      <c r="E74" s="19" t="s">
        <v>45</v>
      </c>
      <c r="F74" s="19" t="s">
        <v>20</v>
      </c>
      <c r="G74" s="19">
        <v>0</v>
      </c>
      <c r="H74" s="134">
        <v>8625.5</v>
      </c>
      <c r="I74" s="21">
        <f t="shared" si="9"/>
        <v>43127.5</v>
      </c>
      <c r="J74" s="18">
        <v>5</v>
      </c>
      <c r="K74" s="21">
        <f t="shared" si="10"/>
        <v>5907.876712328767</v>
      </c>
      <c r="L74" s="21"/>
      <c r="M74" s="21">
        <f t="shared" si="11"/>
        <v>49035.37671232877</v>
      </c>
    </row>
    <row r="75" spans="1:13" ht="15">
      <c r="A75" s="133" t="s">
        <v>260</v>
      </c>
      <c r="B75" s="18" t="s">
        <v>159</v>
      </c>
      <c r="C75" s="18"/>
      <c r="D75" s="19">
        <v>8</v>
      </c>
      <c r="E75" s="19" t="s">
        <v>45</v>
      </c>
      <c r="F75" s="19" t="s">
        <v>20</v>
      </c>
      <c r="G75" s="19">
        <v>1</v>
      </c>
      <c r="H75" s="134">
        <v>9747.58</v>
      </c>
      <c r="I75" s="21">
        <f>+H75*J75</f>
        <v>58485.479999999996</v>
      </c>
      <c r="J75" s="18">
        <v>6</v>
      </c>
      <c r="K75" s="21">
        <f>+I75/365*50</f>
        <v>8011.709589041095</v>
      </c>
      <c r="L75" s="21"/>
      <c r="M75" s="21">
        <f>+I75+K75</f>
        <v>66497.1895890411</v>
      </c>
    </row>
    <row r="76" spans="1:14" ht="15">
      <c r="A76" s="133" t="s">
        <v>53</v>
      </c>
      <c r="B76" s="18" t="s">
        <v>159</v>
      </c>
      <c r="C76" s="18"/>
      <c r="D76" s="19">
        <v>8</v>
      </c>
      <c r="E76" s="19" t="s">
        <v>45</v>
      </c>
      <c r="F76" s="19" t="s">
        <v>20</v>
      </c>
      <c r="G76" s="19">
        <v>1</v>
      </c>
      <c r="H76" s="134">
        <v>7952.1</v>
      </c>
      <c r="I76" s="21">
        <f t="shared" si="9"/>
        <v>63616.8</v>
      </c>
      <c r="J76" s="18">
        <v>8</v>
      </c>
      <c r="K76" s="21">
        <f t="shared" si="10"/>
        <v>8714.630136986301</v>
      </c>
      <c r="L76" s="21"/>
      <c r="M76" s="21">
        <f t="shared" si="11"/>
        <v>72331.43013698631</v>
      </c>
      <c r="N76" s="104"/>
    </row>
    <row r="77" spans="1:14" ht="15">
      <c r="A77" s="133" t="s">
        <v>254</v>
      </c>
      <c r="B77" s="18" t="s">
        <v>159</v>
      </c>
      <c r="C77" s="18"/>
      <c r="D77" s="19">
        <v>8</v>
      </c>
      <c r="E77" s="19" t="s">
        <v>45</v>
      </c>
      <c r="F77" s="19" t="s">
        <v>20</v>
      </c>
      <c r="G77" s="19">
        <v>1</v>
      </c>
      <c r="H77" s="134">
        <v>6223.2</v>
      </c>
      <c r="I77" s="21">
        <f t="shared" si="9"/>
        <v>74678.4</v>
      </c>
      <c r="J77" s="18">
        <v>12</v>
      </c>
      <c r="K77" s="21">
        <f t="shared" si="10"/>
        <v>10229.917808219177</v>
      </c>
      <c r="L77" s="21"/>
      <c r="M77" s="21">
        <f t="shared" si="11"/>
        <v>84908.31780821917</v>
      </c>
      <c r="N77" s="104"/>
    </row>
    <row r="78" spans="1:14" ht="15">
      <c r="A78" s="133" t="s">
        <v>255</v>
      </c>
      <c r="B78" s="18" t="s">
        <v>159</v>
      </c>
      <c r="C78" s="18"/>
      <c r="D78" s="19">
        <v>8</v>
      </c>
      <c r="E78" s="19" t="s">
        <v>45</v>
      </c>
      <c r="F78" s="19" t="s">
        <v>20</v>
      </c>
      <c r="G78" s="19">
        <v>1</v>
      </c>
      <c r="H78" s="134">
        <v>6223.2</v>
      </c>
      <c r="I78" s="21">
        <f t="shared" si="9"/>
        <v>74678.4</v>
      </c>
      <c r="J78" s="18">
        <v>12</v>
      </c>
      <c r="K78" s="21">
        <f t="shared" si="10"/>
        <v>10229.917808219177</v>
      </c>
      <c r="L78" s="21"/>
      <c r="M78" s="21">
        <f t="shared" si="11"/>
        <v>84908.31780821917</v>
      </c>
      <c r="N78" s="104"/>
    </row>
    <row r="79" spans="1:14" ht="15">
      <c r="A79" s="133" t="s">
        <v>256</v>
      </c>
      <c r="B79" s="18" t="s">
        <v>159</v>
      </c>
      <c r="C79" s="18"/>
      <c r="D79" s="19">
        <v>8</v>
      </c>
      <c r="E79" s="19" t="s">
        <v>45</v>
      </c>
      <c r="F79" s="19" t="s">
        <v>20</v>
      </c>
      <c r="G79" s="19">
        <v>1</v>
      </c>
      <c r="H79" s="134">
        <v>6467.68</v>
      </c>
      <c r="I79" s="21">
        <f t="shared" si="9"/>
        <v>77612.16</v>
      </c>
      <c r="J79" s="18">
        <v>12</v>
      </c>
      <c r="K79" s="21">
        <f t="shared" si="10"/>
        <v>10631.802739726028</v>
      </c>
      <c r="L79" s="21"/>
      <c r="M79" s="21">
        <f t="shared" si="11"/>
        <v>88243.96273972603</v>
      </c>
      <c r="N79" s="104"/>
    </row>
    <row r="80" spans="1:14" ht="15.75" thickBot="1">
      <c r="A80" s="1" t="s">
        <v>257</v>
      </c>
      <c r="B80" s="186" t="s">
        <v>159</v>
      </c>
      <c r="C80" s="186"/>
      <c r="D80" s="90">
        <v>8</v>
      </c>
      <c r="E80" s="90" t="s">
        <v>45</v>
      </c>
      <c r="F80" s="90" t="s">
        <v>20</v>
      </c>
      <c r="G80" s="90">
        <v>1</v>
      </c>
      <c r="H80" s="104">
        <v>7717.5</v>
      </c>
      <c r="I80" s="91">
        <f t="shared" si="9"/>
        <v>84892.5</v>
      </c>
      <c r="J80" s="89">
        <v>11</v>
      </c>
      <c r="K80" s="91">
        <f t="shared" si="10"/>
        <v>11629.109589041096</v>
      </c>
      <c r="L80" s="91"/>
      <c r="M80" s="132">
        <f t="shared" si="11"/>
        <v>96521.6095890411</v>
      </c>
      <c r="N80" s="104"/>
    </row>
    <row r="81" spans="1:14" ht="15.75" thickBot="1">
      <c r="A81" s="1" t="s">
        <v>258</v>
      </c>
      <c r="B81" s="88" t="s">
        <v>159</v>
      </c>
      <c r="C81" s="88"/>
      <c r="D81" s="19">
        <v>8</v>
      </c>
      <c r="E81" s="19" t="s">
        <v>45</v>
      </c>
      <c r="F81" s="19" t="s">
        <v>20</v>
      </c>
      <c r="G81" s="19">
        <v>1</v>
      </c>
      <c r="H81" s="104">
        <v>7936.2</v>
      </c>
      <c r="I81" s="74">
        <f t="shared" si="9"/>
        <v>95234.4</v>
      </c>
      <c r="J81" s="18">
        <v>12</v>
      </c>
      <c r="K81" s="74">
        <f t="shared" si="10"/>
        <v>13045.808219178081</v>
      </c>
      <c r="L81" s="21"/>
      <c r="M81" s="85">
        <f t="shared" si="11"/>
        <v>108280.20821917808</v>
      </c>
      <c r="N81" s="104"/>
    </row>
    <row r="82" spans="1:14" ht="15.75" thickBot="1">
      <c r="A82" s="1" t="s">
        <v>259</v>
      </c>
      <c r="B82" s="88" t="s">
        <v>159</v>
      </c>
      <c r="C82" s="88"/>
      <c r="D82" s="19">
        <v>8</v>
      </c>
      <c r="E82" s="19" t="s">
        <v>45</v>
      </c>
      <c r="F82" s="19" t="s">
        <v>20</v>
      </c>
      <c r="G82" s="19">
        <v>1</v>
      </c>
      <c r="H82" s="104">
        <v>6670.86</v>
      </c>
      <c r="I82" s="74">
        <f t="shared" si="9"/>
        <v>53366.88</v>
      </c>
      <c r="J82" s="18">
        <v>8</v>
      </c>
      <c r="K82" s="74">
        <f t="shared" si="10"/>
        <v>7310.531506849314</v>
      </c>
      <c r="L82" s="21"/>
      <c r="M82" s="85">
        <f t="shared" si="11"/>
        <v>60677.41150684931</v>
      </c>
      <c r="N82" s="104"/>
    </row>
    <row r="83" spans="1:14" ht="15.75" thickBot="1">
      <c r="A83" s="94" t="s">
        <v>193</v>
      </c>
      <c r="B83" s="88" t="s">
        <v>159</v>
      </c>
      <c r="C83" s="88"/>
      <c r="D83" s="19">
        <v>8</v>
      </c>
      <c r="E83" s="19" t="s">
        <v>45</v>
      </c>
      <c r="F83" s="19" t="s">
        <v>20</v>
      </c>
      <c r="G83" s="19">
        <v>1</v>
      </c>
      <c r="H83" s="21">
        <f>9808.86*1.05</f>
        <v>10299.303000000002</v>
      </c>
      <c r="I83" s="74">
        <f t="shared" si="7"/>
        <v>123591.63600000003</v>
      </c>
      <c r="J83" s="18">
        <v>12</v>
      </c>
      <c r="K83" s="74">
        <f t="shared" si="8"/>
        <v>16930.361095890417</v>
      </c>
      <c r="L83" s="21"/>
      <c r="M83" s="85">
        <f t="shared" si="6"/>
        <v>140521.99709589046</v>
      </c>
      <c r="N83" s="1"/>
    </row>
    <row r="84" spans="1:14" ht="15.75" thickBot="1">
      <c r="A84" s="94" t="s">
        <v>160</v>
      </c>
      <c r="B84" s="88" t="s">
        <v>159</v>
      </c>
      <c r="C84" s="88"/>
      <c r="D84" s="125">
        <v>8</v>
      </c>
      <c r="E84" s="125" t="s">
        <v>45</v>
      </c>
      <c r="F84" s="125" t="s">
        <v>20</v>
      </c>
      <c r="G84" s="125">
        <v>1</v>
      </c>
      <c r="H84" s="127">
        <v>9872.3</v>
      </c>
      <c r="I84" s="139">
        <f t="shared" si="7"/>
        <v>118467.59999999999</v>
      </c>
      <c r="J84" s="88">
        <v>12</v>
      </c>
      <c r="K84" s="139">
        <f t="shared" si="8"/>
        <v>16228.438356164384</v>
      </c>
      <c r="L84" s="127"/>
      <c r="M84" s="140">
        <f t="shared" si="6"/>
        <v>134696.03835616438</v>
      </c>
      <c r="N84" s="1"/>
    </row>
    <row r="85" spans="1:13" ht="15.75" thickBot="1">
      <c r="A85" s="102"/>
      <c r="B85" s="13"/>
      <c r="C85" s="13"/>
      <c r="D85" s="8" t="s">
        <v>43</v>
      </c>
      <c r="E85" s="8"/>
      <c r="F85" s="59"/>
      <c r="G85" s="8">
        <f>SUM(G49:G84)</f>
        <v>40</v>
      </c>
      <c r="H85" s="10">
        <f>SUM(H49:H84)</f>
        <v>292220.203</v>
      </c>
      <c r="I85" s="10">
        <f>SUM(I49:I84)</f>
        <v>3115887.616</v>
      </c>
      <c r="J85" s="11"/>
      <c r="K85" s="10">
        <f>SUM(K49:K84)</f>
        <v>426833.91999999987</v>
      </c>
      <c r="L85" s="10"/>
      <c r="M85" s="10">
        <f>SUM(M49:M84)</f>
        <v>3542721.536000001</v>
      </c>
    </row>
    <row r="86" spans="1:13" ht="15.75" thickBot="1">
      <c r="A86" s="103"/>
      <c r="B86" s="15"/>
      <c r="C86" s="15"/>
      <c r="D86" s="8" t="s">
        <v>47</v>
      </c>
      <c r="E86" s="8"/>
      <c r="F86" s="8"/>
      <c r="G86" s="8">
        <f>G85+G47</f>
        <v>82</v>
      </c>
      <c r="H86" s="10">
        <f>H85+H47</f>
        <v>1203045.493</v>
      </c>
      <c r="I86" s="10">
        <f>I85+I47</f>
        <v>13881494.236000001</v>
      </c>
      <c r="J86" s="11"/>
      <c r="K86" s="10">
        <f>K85+K47</f>
        <v>1901574.5528767118</v>
      </c>
      <c r="L86" s="10"/>
      <c r="M86" s="10">
        <f>M85+M47</f>
        <v>15783068.788876716</v>
      </c>
    </row>
    <row r="87" spans="1:13" ht="15">
      <c r="A87" s="2"/>
      <c r="B87" s="2"/>
      <c r="C87" s="2"/>
      <c r="D87" s="3"/>
      <c r="E87" s="3"/>
      <c r="F87" s="3"/>
      <c r="G87" s="3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3"/>
      <c r="E88" s="3"/>
      <c r="F88" s="3"/>
      <c r="G88" s="3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3"/>
      <c r="E89" s="3"/>
      <c r="F89" s="3"/>
      <c r="G89" s="3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3"/>
      <c r="E90" s="3"/>
      <c r="F90" s="3"/>
      <c r="G90" s="3"/>
      <c r="H90" s="2"/>
      <c r="I90" s="2"/>
      <c r="J90" s="2"/>
      <c r="K90" s="2"/>
      <c r="L90" s="2"/>
      <c r="M90" s="2"/>
    </row>
  </sheetData>
  <sheetProtection/>
  <mergeCells count="3">
    <mergeCell ref="A1:M1"/>
    <mergeCell ref="A2:M2"/>
    <mergeCell ref="A5:M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90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zoomScale="84" zoomScaleNormal="84" zoomScalePageLayoutView="0" workbookViewId="0" topLeftCell="A1">
      <selection activeCell="D6" sqref="D6:D51"/>
    </sheetView>
  </sheetViews>
  <sheetFormatPr defaultColWidth="11.421875" defaultRowHeight="15"/>
  <cols>
    <col min="1" max="1" width="5.421875" style="0" customWidth="1"/>
    <col min="2" max="2" width="45.421875" style="0" customWidth="1"/>
    <col min="3" max="3" width="24.57421875" style="0" customWidth="1"/>
    <col min="4" max="4" width="36.57421875" style="0" customWidth="1"/>
    <col min="10" max="10" width="19.140625" style="0" customWidth="1"/>
    <col min="12" max="12" width="15.421875" style="0" customWidth="1"/>
    <col min="14" max="14" width="14.7109375" style="0" customWidth="1"/>
  </cols>
  <sheetData>
    <row r="1" spans="2:14" ht="18">
      <c r="B1" s="191" t="s">
        <v>248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2:14" ht="18.75" thickBot="1"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</row>
    <row r="3" spans="2:14" ht="15.75" thickBot="1">
      <c r="B3" s="2"/>
      <c r="C3" s="2"/>
      <c r="D3" s="2"/>
      <c r="E3" s="3"/>
      <c r="F3" s="3"/>
      <c r="G3" s="3"/>
      <c r="H3" s="3"/>
      <c r="I3" s="2"/>
      <c r="J3" s="2"/>
      <c r="K3" s="2"/>
      <c r="L3" s="2"/>
      <c r="M3" s="2"/>
      <c r="N3" s="2"/>
    </row>
    <row r="4" spans="2:14" ht="39" thickBot="1"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</row>
    <row r="5" spans="2:14" ht="31.5" thickBot="1">
      <c r="B5" s="197" t="s">
        <v>48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9"/>
    </row>
    <row r="6" spans="2:15" ht="15.75" thickBot="1">
      <c r="B6" s="79" t="s">
        <v>38</v>
      </c>
      <c r="C6" s="73" t="s">
        <v>49</v>
      </c>
      <c r="D6" s="73"/>
      <c r="E6" s="80">
        <v>40</v>
      </c>
      <c r="F6" s="80" t="s">
        <v>19</v>
      </c>
      <c r="G6" s="80" t="s">
        <v>20</v>
      </c>
      <c r="H6" s="80">
        <v>1</v>
      </c>
      <c r="I6" s="87">
        <f>16800*1.05</f>
        <v>17640</v>
      </c>
      <c r="J6" s="87">
        <f>+I6*K6</f>
        <v>211680</v>
      </c>
      <c r="K6" s="73">
        <v>12</v>
      </c>
      <c r="L6" s="74">
        <f>+J6/365*50</f>
        <v>28997.260273972603</v>
      </c>
      <c r="M6" s="74"/>
      <c r="N6" s="86">
        <f>+J6+L6</f>
        <v>240677.2602739726</v>
      </c>
      <c r="O6" s="1"/>
    </row>
    <row r="7" spans="2:15" ht="15.75" thickBot="1">
      <c r="B7" s="17" t="s">
        <v>61</v>
      </c>
      <c r="C7" s="18" t="s">
        <v>224</v>
      </c>
      <c r="D7" s="89"/>
      <c r="E7" s="19">
        <v>40</v>
      </c>
      <c r="F7" s="19" t="s">
        <v>19</v>
      </c>
      <c r="G7" s="19" t="s">
        <v>20</v>
      </c>
      <c r="H7" s="19">
        <v>1</v>
      </c>
      <c r="I7" s="20">
        <v>14831</v>
      </c>
      <c r="J7" s="87">
        <f>+I7*K7</f>
        <v>177972</v>
      </c>
      <c r="K7" s="18">
        <v>12</v>
      </c>
      <c r="L7" s="74">
        <f>+J7/365*50</f>
        <v>24379.72602739726</v>
      </c>
      <c r="M7" s="21"/>
      <c r="N7" s="86">
        <f aca="true" t="shared" si="0" ref="N7:N15">+J7+L7</f>
        <v>202351.72602739726</v>
      </c>
      <c r="O7" s="104"/>
    </row>
    <row r="8" spans="2:15" ht="15.75" thickBot="1">
      <c r="B8" s="93" t="s">
        <v>38</v>
      </c>
      <c r="C8" s="89" t="s">
        <v>57</v>
      </c>
      <c r="D8" s="18"/>
      <c r="E8" s="80">
        <v>40</v>
      </c>
      <c r="F8" s="80" t="s">
        <v>19</v>
      </c>
      <c r="G8" s="80" t="s">
        <v>20</v>
      </c>
      <c r="H8" s="80">
        <v>1</v>
      </c>
      <c r="I8" s="87">
        <v>13217.7</v>
      </c>
      <c r="J8" s="87">
        <f aca="true" t="shared" si="1" ref="J8:J15">+I8*K8</f>
        <v>158612.40000000002</v>
      </c>
      <c r="K8" s="73">
        <v>12</v>
      </c>
      <c r="L8" s="74">
        <f aca="true" t="shared" si="2" ref="L8:L15">+J8/365*50</f>
        <v>21727.726027397264</v>
      </c>
      <c r="M8" s="74"/>
      <c r="N8" s="86">
        <f t="shared" si="0"/>
        <v>180340.1260273973</v>
      </c>
      <c r="O8" s="1"/>
    </row>
    <row r="9" spans="2:15" ht="15.75" thickBot="1">
      <c r="B9" s="17" t="s">
        <v>50</v>
      </c>
      <c r="C9" s="18" t="s">
        <v>24</v>
      </c>
      <c r="D9" s="18"/>
      <c r="E9" s="19">
        <v>40</v>
      </c>
      <c r="F9" s="19" t="s">
        <v>19</v>
      </c>
      <c r="G9" s="19" t="s">
        <v>20</v>
      </c>
      <c r="H9" s="19">
        <v>1</v>
      </c>
      <c r="I9" s="20">
        <f>18130*1.05</f>
        <v>19036.5</v>
      </c>
      <c r="J9" s="87">
        <f t="shared" si="1"/>
        <v>228438</v>
      </c>
      <c r="K9" s="18">
        <v>12</v>
      </c>
      <c r="L9" s="74">
        <f t="shared" si="2"/>
        <v>31292.87671232877</v>
      </c>
      <c r="M9" s="21"/>
      <c r="N9" s="86">
        <f t="shared" si="0"/>
        <v>259730.87671232875</v>
      </c>
      <c r="O9" s="1"/>
    </row>
    <row r="10" spans="2:15" ht="15.75" thickBot="1">
      <c r="B10" s="17" t="s">
        <v>38</v>
      </c>
      <c r="C10" s="18" t="s">
        <v>0</v>
      </c>
      <c r="D10" s="18"/>
      <c r="E10" s="19">
        <v>40</v>
      </c>
      <c r="F10" s="19" t="s">
        <v>19</v>
      </c>
      <c r="G10" s="19" t="s">
        <v>20</v>
      </c>
      <c r="H10" s="19">
        <v>1</v>
      </c>
      <c r="I10" s="20">
        <v>19035.76</v>
      </c>
      <c r="J10" s="87">
        <f>+I10*K10</f>
        <v>228429.12</v>
      </c>
      <c r="K10" s="18">
        <v>12</v>
      </c>
      <c r="L10" s="74">
        <f>+J10/365*50</f>
        <v>31291.660273972604</v>
      </c>
      <c r="M10" s="21"/>
      <c r="N10" s="86">
        <f t="shared" si="0"/>
        <v>259720.7802739726</v>
      </c>
      <c r="O10" s="1"/>
    </row>
    <row r="11" spans="2:15" ht="15.75" thickBot="1">
      <c r="B11" s="17" t="s">
        <v>262</v>
      </c>
      <c r="C11" s="18" t="s">
        <v>263</v>
      </c>
      <c r="D11" s="18"/>
      <c r="E11" s="19">
        <v>40</v>
      </c>
      <c r="F11" s="19" t="s">
        <v>19</v>
      </c>
      <c r="G11" s="19" t="s">
        <v>20</v>
      </c>
      <c r="H11" s="19">
        <v>1</v>
      </c>
      <c r="I11" s="21">
        <v>12221.62</v>
      </c>
      <c r="J11" s="74">
        <f>+I11*K11</f>
        <v>146659.44</v>
      </c>
      <c r="K11" s="18">
        <v>12</v>
      </c>
      <c r="L11" s="74">
        <f>+J11/365*50</f>
        <v>20090.334246575345</v>
      </c>
      <c r="M11" s="21"/>
      <c r="N11" s="86">
        <f t="shared" si="0"/>
        <v>166749.77424657534</v>
      </c>
      <c r="O11" s="1"/>
    </row>
    <row r="12" spans="2:15" ht="15.75" thickBot="1">
      <c r="B12" s="17" t="s">
        <v>29</v>
      </c>
      <c r="C12" s="18" t="s">
        <v>0</v>
      </c>
      <c r="D12" s="18"/>
      <c r="E12" s="19">
        <v>40</v>
      </c>
      <c r="F12" s="19" t="s">
        <v>27</v>
      </c>
      <c r="G12" s="19" t="s">
        <v>20</v>
      </c>
      <c r="H12" s="19">
        <v>1</v>
      </c>
      <c r="I12" s="20">
        <v>11102.88</v>
      </c>
      <c r="J12" s="87">
        <f t="shared" si="1"/>
        <v>133234.56</v>
      </c>
      <c r="K12" s="18">
        <v>12</v>
      </c>
      <c r="L12" s="74">
        <f t="shared" si="2"/>
        <v>18251.309589041095</v>
      </c>
      <c r="M12" s="21"/>
      <c r="N12" s="86">
        <f t="shared" si="0"/>
        <v>151485.8695890411</v>
      </c>
      <c r="O12" s="1"/>
    </row>
    <row r="13" spans="2:15" ht="15.75" thickBot="1">
      <c r="B13" s="17" t="s">
        <v>53</v>
      </c>
      <c r="C13" s="18" t="s">
        <v>0</v>
      </c>
      <c r="D13" s="18"/>
      <c r="E13" s="19">
        <v>40</v>
      </c>
      <c r="F13" s="19" t="s">
        <v>27</v>
      </c>
      <c r="G13" s="19" t="s">
        <v>20</v>
      </c>
      <c r="H13" s="19">
        <v>1</v>
      </c>
      <c r="I13" s="20">
        <v>10547.74</v>
      </c>
      <c r="J13" s="87">
        <f t="shared" si="1"/>
        <v>126572.88</v>
      </c>
      <c r="K13" s="18">
        <v>12</v>
      </c>
      <c r="L13" s="74">
        <f t="shared" si="2"/>
        <v>17338.75068493151</v>
      </c>
      <c r="M13" s="21"/>
      <c r="N13" s="86">
        <f t="shared" si="0"/>
        <v>143911.63068493153</v>
      </c>
      <c r="O13" s="1"/>
    </row>
    <row r="14" spans="2:15" ht="15.75" thickBot="1">
      <c r="B14" s="17" t="s">
        <v>54</v>
      </c>
      <c r="C14" s="18" t="s">
        <v>55</v>
      </c>
      <c r="D14" s="18"/>
      <c r="E14" s="19">
        <v>40</v>
      </c>
      <c r="F14" s="19" t="s">
        <v>19</v>
      </c>
      <c r="G14" s="19" t="s">
        <v>20</v>
      </c>
      <c r="H14" s="19">
        <v>1</v>
      </c>
      <c r="I14" s="20">
        <v>13217.7</v>
      </c>
      <c r="J14" s="87">
        <f t="shared" si="1"/>
        <v>158612.40000000002</v>
      </c>
      <c r="K14" s="18">
        <v>12</v>
      </c>
      <c r="L14" s="74">
        <f t="shared" si="2"/>
        <v>21727.726027397264</v>
      </c>
      <c r="M14" s="21"/>
      <c r="N14" s="86">
        <f t="shared" si="0"/>
        <v>180340.1260273973</v>
      </c>
      <c r="O14" s="1"/>
    </row>
    <row r="15" spans="2:15" ht="15.75" thickBot="1">
      <c r="B15" s="17" t="s">
        <v>225</v>
      </c>
      <c r="C15" s="18" t="s">
        <v>224</v>
      </c>
      <c r="D15" s="18"/>
      <c r="E15" s="19">
        <v>40</v>
      </c>
      <c r="F15" s="19" t="s">
        <v>19</v>
      </c>
      <c r="G15" s="19" t="s">
        <v>20</v>
      </c>
      <c r="H15" s="19">
        <v>1</v>
      </c>
      <c r="I15" s="20">
        <v>11639.64</v>
      </c>
      <c r="J15" s="87">
        <f t="shared" si="1"/>
        <v>34918.92</v>
      </c>
      <c r="K15" s="18">
        <v>3</v>
      </c>
      <c r="L15" s="74">
        <f t="shared" si="2"/>
        <v>4783.413698630136</v>
      </c>
      <c r="M15" s="21"/>
      <c r="N15" s="86">
        <f t="shared" si="0"/>
        <v>39702.33369863014</v>
      </c>
      <c r="O15" s="104"/>
    </row>
    <row r="16" spans="2:15" ht="15.75" thickBot="1">
      <c r="B16" s="17" t="s">
        <v>58</v>
      </c>
      <c r="C16" s="18" t="s">
        <v>59</v>
      </c>
      <c r="D16" s="18"/>
      <c r="E16" s="19">
        <v>40</v>
      </c>
      <c r="F16" s="19" t="s">
        <v>19</v>
      </c>
      <c r="G16" s="19" t="s">
        <v>20</v>
      </c>
      <c r="H16" s="19">
        <v>1</v>
      </c>
      <c r="I16" s="20">
        <f>20800*1.05</f>
        <v>21840</v>
      </c>
      <c r="J16" s="87">
        <f aca="true" t="shared" si="3" ref="J16:J21">+I16*K16</f>
        <v>262080</v>
      </c>
      <c r="K16" s="18">
        <v>12</v>
      </c>
      <c r="L16" s="74">
        <f aca="true" t="shared" si="4" ref="L16:L21">+J16/365*50</f>
        <v>35901.3698630137</v>
      </c>
      <c r="M16" s="21"/>
      <c r="N16" s="86">
        <f aca="true" t="shared" si="5" ref="N16:N21">+J16+L16</f>
        <v>297981.3698630137</v>
      </c>
      <c r="O16" s="1"/>
    </row>
    <row r="17" spans="2:15" ht="15.75" thickBot="1">
      <c r="B17" s="17" t="s">
        <v>29</v>
      </c>
      <c r="C17" s="18" t="s">
        <v>59</v>
      </c>
      <c r="D17" s="18"/>
      <c r="E17" s="19">
        <v>40</v>
      </c>
      <c r="F17" s="19" t="s">
        <v>27</v>
      </c>
      <c r="G17" s="19" t="s">
        <v>20</v>
      </c>
      <c r="H17" s="19">
        <v>1</v>
      </c>
      <c r="I17" s="20">
        <v>9469.6</v>
      </c>
      <c r="J17" s="87">
        <f t="shared" si="3"/>
        <v>113635.20000000001</v>
      </c>
      <c r="K17" s="18">
        <v>12</v>
      </c>
      <c r="L17" s="74">
        <f t="shared" si="4"/>
        <v>15566.46575342466</v>
      </c>
      <c r="M17" s="21"/>
      <c r="N17" s="86">
        <f t="shared" si="5"/>
        <v>129201.66575342468</v>
      </c>
      <c r="O17" s="1"/>
    </row>
    <row r="18" spans="2:15" ht="15.75" thickBot="1">
      <c r="B18" s="17" t="s">
        <v>29</v>
      </c>
      <c r="C18" s="18" t="s">
        <v>59</v>
      </c>
      <c r="D18" s="18"/>
      <c r="E18" s="19">
        <v>40</v>
      </c>
      <c r="F18" s="19" t="s">
        <v>27</v>
      </c>
      <c r="G18" s="19" t="s">
        <v>20</v>
      </c>
      <c r="H18" s="19">
        <v>1</v>
      </c>
      <c r="I18" s="20">
        <v>10265.08</v>
      </c>
      <c r="J18" s="87">
        <f t="shared" si="3"/>
        <v>123180.95999999999</v>
      </c>
      <c r="K18" s="18">
        <v>12</v>
      </c>
      <c r="L18" s="74">
        <f t="shared" si="4"/>
        <v>16874.10410958904</v>
      </c>
      <c r="M18" s="21"/>
      <c r="N18" s="86">
        <f t="shared" si="5"/>
        <v>140055.06410958903</v>
      </c>
      <c r="O18" s="1"/>
    </row>
    <row r="19" spans="2:15" ht="15.75" thickBot="1">
      <c r="B19" s="17" t="s">
        <v>29</v>
      </c>
      <c r="C19" s="18" t="s">
        <v>59</v>
      </c>
      <c r="D19" s="18"/>
      <c r="E19" s="19">
        <v>40</v>
      </c>
      <c r="F19" s="19" t="s">
        <v>27</v>
      </c>
      <c r="G19" s="19" t="s">
        <v>20</v>
      </c>
      <c r="H19" s="19">
        <v>1</v>
      </c>
      <c r="I19" s="20">
        <v>10265.08</v>
      </c>
      <c r="J19" s="87">
        <f t="shared" si="3"/>
        <v>123180.95999999999</v>
      </c>
      <c r="K19" s="18">
        <v>12</v>
      </c>
      <c r="L19" s="74">
        <f t="shared" si="4"/>
        <v>16874.10410958904</v>
      </c>
      <c r="M19" s="21"/>
      <c r="N19" s="86">
        <f t="shared" si="5"/>
        <v>140055.06410958903</v>
      </c>
      <c r="O19" s="1"/>
    </row>
    <row r="20" spans="2:15" ht="15.75" thickBot="1">
      <c r="B20" s="17" t="s">
        <v>186</v>
      </c>
      <c r="C20" s="18" t="s">
        <v>59</v>
      </c>
      <c r="D20" s="18"/>
      <c r="E20" s="19">
        <v>40</v>
      </c>
      <c r="F20" s="19" t="s">
        <v>27</v>
      </c>
      <c r="G20" s="19" t="s">
        <v>20</v>
      </c>
      <c r="H20" s="19">
        <v>1</v>
      </c>
      <c r="I20" s="20">
        <v>11277</v>
      </c>
      <c r="J20" s="87">
        <f t="shared" si="3"/>
        <v>135324</v>
      </c>
      <c r="K20" s="18">
        <v>12</v>
      </c>
      <c r="L20" s="74">
        <f t="shared" si="4"/>
        <v>18537.534246575342</v>
      </c>
      <c r="M20" s="21"/>
      <c r="N20" s="86">
        <f t="shared" si="5"/>
        <v>153861.53424657535</v>
      </c>
      <c r="O20" s="104"/>
    </row>
    <row r="21" spans="2:15" ht="15">
      <c r="B21" s="17" t="s">
        <v>29</v>
      </c>
      <c r="C21" s="18" t="s">
        <v>59</v>
      </c>
      <c r="D21" s="18"/>
      <c r="E21" s="19">
        <v>40</v>
      </c>
      <c r="F21" s="19" t="s">
        <v>27</v>
      </c>
      <c r="G21" s="19" t="s">
        <v>20</v>
      </c>
      <c r="H21" s="19">
        <v>1</v>
      </c>
      <c r="I21" s="20">
        <v>9469.6</v>
      </c>
      <c r="J21" s="87">
        <f t="shared" si="3"/>
        <v>56817.600000000006</v>
      </c>
      <c r="K21" s="18">
        <v>6</v>
      </c>
      <c r="L21" s="74">
        <f t="shared" si="4"/>
        <v>7783.23287671233</v>
      </c>
      <c r="M21" s="21"/>
      <c r="N21" s="86">
        <f t="shared" si="5"/>
        <v>64600.83287671234</v>
      </c>
      <c r="O21" s="1"/>
    </row>
    <row r="22" spans="2:15" ht="15">
      <c r="B22" s="93" t="s">
        <v>246</v>
      </c>
      <c r="C22" s="89" t="s">
        <v>60</v>
      </c>
      <c r="D22" s="89"/>
      <c r="E22" s="90">
        <v>8</v>
      </c>
      <c r="F22" s="90" t="s">
        <v>45</v>
      </c>
      <c r="G22" s="90" t="s">
        <v>20</v>
      </c>
      <c r="H22" s="90">
        <v>1</v>
      </c>
      <c r="I22" s="91">
        <f>11000*1.05</f>
        <v>11550</v>
      </c>
      <c r="J22" s="21">
        <f>I22*K22</f>
        <v>138600</v>
      </c>
      <c r="K22" s="89">
        <v>12</v>
      </c>
      <c r="L22" s="21">
        <f>J22/365*50</f>
        <v>18986.301369863013</v>
      </c>
      <c r="M22" s="91"/>
      <c r="N22" s="86">
        <f>J22+L22</f>
        <v>157586.301369863</v>
      </c>
      <c r="O22" s="1"/>
    </row>
    <row r="23" spans="2:15" ht="15.75" thickBot="1">
      <c r="B23" s="17" t="s">
        <v>61</v>
      </c>
      <c r="C23" s="18" t="s">
        <v>1</v>
      </c>
      <c r="D23" s="18"/>
      <c r="E23" s="19">
        <v>40</v>
      </c>
      <c r="F23" s="19" t="s">
        <v>19</v>
      </c>
      <c r="G23" s="19" t="s">
        <v>20</v>
      </c>
      <c r="H23" s="19">
        <v>1</v>
      </c>
      <c r="I23" s="21">
        <v>16794.02</v>
      </c>
      <c r="J23" s="21">
        <f>I23*K23</f>
        <v>201528.24</v>
      </c>
      <c r="K23" s="18">
        <v>12</v>
      </c>
      <c r="L23" s="21">
        <f>J23/365*50</f>
        <v>27606.60821917808</v>
      </c>
      <c r="M23" s="21"/>
      <c r="N23" s="86">
        <f>J23+L23</f>
        <v>229134.84821917806</v>
      </c>
      <c r="O23" s="1"/>
    </row>
    <row r="24" spans="2:15" ht="15.75" thickBot="1">
      <c r="B24" s="17" t="s">
        <v>38</v>
      </c>
      <c r="C24" s="18" t="s">
        <v>62</v>
      </c>
      <c r="D24" s="18"/>
      <c r="E24" s="19">
        <v>40</v>
      </c>
      <c r="F24" s="19" t="s">
        <v>19</v>
      </c>
      <c r="G24" s="19" t="s">
        <v>20</v>
      </c>
      <c r="H24" s="19">
        <v>1</v>
      </c>
      <c r="I24" s="20">
        <v>18505</v>
      </c>
      <c r="J24" s="87">
        <f>+I24*K24</f>
        <v>222060</v>
      </c>
      <c r="K24" s="18">
        <v>12</v>
      </c>
      <c r="L24" s="74">
        <f>+J24/365*50</f>
        <v>30419.178082191782</v>
      </c>
      <c r="M24" s="21"/>
      <c r="N24" s="86">
        <f>+J24+L24</f>
        <v>252479.1780821918</v>
      </c>
      <c r="O24" s="104"/>
    </row>
    <row r="25" spans="2:15" ht="15.75" thickBot="1">
      <c r="B25" s="17" t="s">
        <v>29</v>
      </c>
      <c r="C25" s="18" t="s">
        <v>62</v>
      </c>
      <c r="D25" s="18"/>
      <c r="E25" s="19">
        <v>40</v>
      </c>
      <c r="F25" s="19" t="s">
        <v>27</v>
      </c>
      <c r="G25" s="19" t="s">
        <v>20</v>
      </c>
      <c r="H25" s="19">
        <v>1</v>
      </c>
      <c r="I25" s="20">
        <v>8102</v>
      </c>
      <c r="J25" s="87">
        <f>+I25*K25</f>
        <v>64816</v>
      </c>
      <c r="K25" s="18">
        <v>8</v>
      </c>
      <c r="L25" s="74">
        <f>+J25/365*50</f>
        <v>8878.90410958904</v>
      </c>
      <c r="M25" s="21"/>
      <c r="N25" s="86">
        <f>+J25+L25</f>
        <v>73694.90410958904</v>
      </c>
      <c r="O25" s="1"/>
    </row>
    <row r="26" spans="2:15" ht="15">
      <c r="B26" s="17" t="s">
        <v>46</v>
      </c>
      <c r="C26" s="18" t="s">
        <v>62</v>
      </c>
      <c r="D26" s="18"/>
      <c r="E26" s="19">
        <v>40</v>
      </c>
      <c r="F26" s="19" t="s">
        <v>27</v>
      </c>
      <c r="G26" s="19" t="s">
        <v>20</v>
      </c>
      <c r="H26" s="19">
        <v>1</v>
      </c>
      <c r="I26" s="20">
        <v>6223.2</v>
      </c>
      <c r="J26" s="87">
        <f>+I26*K26</f>
        <v>74678.4</v>
      </c>
      <c r="K26" s="18">
        <v>12</v>
      </c>
      <c r="L26" s="74">
        <f>+J26/365*50</f>
        <v>10229.917808219177</v>
      </c>
      <c r="M26" s="21"/>
      <c r="N26" s="86">
        <f>+J26+L26</f>
        <v>84908.31780821917</v>
      </c>
      <c r="O26" s="1"/>
    </row>
    <row r="27" spans="2:15" ht="15">
      <c r="B27" s="17" t="s">
        <v>71</v>
      </c>
      <c r="C27" s="18" t="s">
        <v>62</v>
      </c>
      <c r="D27" s="18"/>
      <c r="E27" s="19">
        <v>8</v>
      </c>
      <c r="F27" s="19" t="s">
        <v>27</v>
      </c>
      <c r="G27" s="19" t="s">
        <v>20</v>
      </c>
      <c r="H27" s="19">
        <v>1</v>
      </c>
      <c r="I27" s="21">
        <f>10300*1.05</f>
        <v>10815</v>
      </c>
      <c r="J27" s="21">
        <f>I27*K27</f>
        <v>129780</v>
      </c>
      <c r="K27" s="18">
        <v>12</v>
      </c>
      <c r="L27" s="21">
        <f>J27/365*50</f>
        <v>17778.08219178082</v>
      </c>
      <c r="M27" s="21"/>
      <c r="N27" s="86">
        <f>J27+L27</f>
        <v>147558.08219178082</v>
      </c>
      <c r="O27" s="1"/>
    </row>
    <row r="28" spans="2:15" ht="15.75" thickBot="1">
      <c r="B28" s="17" t="s">
        <v>46</v>
      </c>
      <c r="C28" s="18" t="s">
        <v>62</v>
      </c>
      <c r="D28" s="18"/>
      <c r="E28" s="19">
        <v>8</v>
      </c>
      <c r="F28" s="19" t="s">
        <v>27</v>
      </c>
      <c r="G28" s="19" t="s">
        <v>20</v>
      </c>
      <c r="H28" s="19">
        <v>1</v>
      </c>
      <c r="I28" s="21">
        <v>6306.2</v>
      </c>
      <c r="J28" s="21">
        <f>I28*K28</f>
        <v>75674.4</v>
      </c>
      <c r="K28" s="18">
        <v>12</v>
      </c>
      <c r="L28" s="21">
        <f>J28/365*50</f>
        <v>10366.35616438356</v>
      </c>
      <c r="M28" s="21"/>
      <c r="N28" s="86">
        <f>J28+L28</f>
        <v>86040.75616438355</v>
      </c>
      <c r="O28" s="1"/>
    </row>
    <row r="29" spans="2:15" ht="15.75" thickBot="1">
      <c r="B29" s="17" t="s">
        <v>38</v>
      </c>
      <c r="C29" s="18" t="s">
        <v>63</v>
      </c>
      <c r="D29" s="18"/>
      <c r="E29" s="19">
        <v>40</v>
      </c>
      <c r="F29" s="19" t="s">
        <v>19</v>
      </c>
      <c r="G29" s="19" t="s">
        <v>20</v>
      </c>
      <c r="H29" s="19">
        <v>1</v>
      </c>
      <c r="I29" s="20">
        <v>16580</v>
      </c>
      <c r="J29" s="87">
        <f aca="true" t="shared" si="6" ref="J29:J35">+I29*K29</f>
        <v>198960</v>
      </c>
      <c r="K29" s="18">
        <v>12</v>
      </c>
      <c r="L29" s="74">
        <f aca="true" t="shared" si="7" ref="L29:L35">+J29/365*50</f>
        <v>27254.794520547945</v>
      </c>
      <c r="M29" s="21"/>
      <c r="N29" s="86">
        <f aca="true" t="shared" si="8" ref="N29:N35">+J29+L29</f>
        <v>226214.79452054793</v>
      </c>
      <c r="O29" s="1"/>
    </row>
    <row r="30" spans="2:15" ht="15.75" thickBot="1">
      <c r="B30" s="17" t="s">
        <v>261</v>
      </c>
      <c r="C30" s="18" t="s">
        <v>64</v>
      </c>
      <c r="D30" s="18"/>
      <c r="E30" s="19">
        <v>40</v>
      </c>
      <c r="F30" s="19" t="s">
        <v>19</v>
      </c>
      <c r="G30" s="19" t="s">
        <v>20</v>
      </c>
      <c r="H30" s="19">
        <v>1</v>
      </c>
      <c r="I30" s="20">
        <v>1773.28</v>
      </c>
      <c r="J30" s="87">
        <f t="shared" si="6"/>
        <v>21279.36</v>
      </c>
      <c r="K30" s="18">
        <v>12</v>
      </c>
      <c r="L30" s="74">
        <f t="shared" si="7"/>
        <v>2914.9808219178085</v>
      </c>
      <c r="M30" s="21"/>
      <c r="N30" s="86">
        <f t="shared" si="8"/>
        <v>24194.34082191781</v>
      </c>
      <c r="O30" s="1"/>
    </row>
    <row r="31" spans="2:15" ht="15.75" thickBot="1">
      <c r="B31" s="17" t="s">
        <v>65</v>
      </c>
      <c r="C31" s="18" t="s">
        <v>64</v>
      </c>
      <c r="D31" s="18"/>
      <c r="E31" s="19">
        <v>40</v>
      </c>
      <c r="F31" s="19" t="s">
        <v>19</v>
      </c>
      <c r="G31" s="19" t="s">
        <v>20</v>
      </c>
      <c r="H31" s="19">
        <v>1</v>
      </c>
      <c r="I31" s="20">
        <v>16140.98</v>
      </c>
      <c r="J31" s="87">
        <f t="shared" si="6"/>
        <v>193691.76</v>
      </c>
      <c r="K31" s="18">
        <v>12</v>
      </c>
      <c r="L31" s="74">
        <f t="shared" si="7"/>
        <v>26533.11780821918</v>
      </c>
      <c r="M31" s="21"/>
      <c r="N31" s="86">
        <f t="shared" si="8"/>
        <v>220224.8778082192</v>
      </c>
      <c r="O31" s="104"/>
    </row>
    <row r="32" spans="2:15" ht="15.75" thickBot="1">
      <c r="B32" s="17" t="s">
        <v>61</v>
      </c>
      <c r="C32" s="18" t="s">
        <v>60</v>
      </c>
      <c r="D32" s="18"/>
      <c r="E32" s="19">
        <v>40</v>
      </c>
      <c r="F32" s="19" t="s">
        <v>19</v>
      </c>
      <c r="G32" s="19" t="s">
        <v>20</v>
      </c>
      <c r="H32" s="19">
        <v>1</v>
      </c>
      <c r="I32" s="20">
        <v>14539.44</v>
      </c>
      <c r="J32" s="87">
        <f t="shared" si="6"/>
        <v>174473.28</v>
      </c>
      <c r="K32" s="18">
        <v>12</v>
      </c>
      <c r="L32" s="74">
        <f t="shared" si="7"/>
        <v>23900.449315068494</v>
      </c>
      <c r="M32" s="21"/>
      <c r="N32" s="86">
        <f t="shared" si="8"/>
        <v>198373.7293150685</v>
      </c>
      <c r="O32" s="1"/>
    </row>
    <row r="33" spans="2:15" ht="15.75" thickBot="1">
      <c r="B33" s="17" t="s">
        <v>38</v>
      </c>
      <c r="C33" s="18" t="s">
        <v>66</v>
      </c>
      <c r="D33" s="18"/>
      <c r="E33" s="19">
        <v>40</v>
      </c>
      <c r="F33" s="19" t="s">
        <v>19</v>
      </c>
      <c r="G33" s="19" t="s">
        <v>20</v>
      </c>
      <c r="H33" s="19">
        <v>1</v>
      </c>
      <c r="I33" s="20">
        <v>17843.88</v>
      </c>
      <c r="J33" s="87">
        <f t="shared" si="6"/>
        <v>214126.56</v>
      </c>
      <c r="K33" s="18">
        <v>12</v>
      </c>
      <c r="L33" s="74">
        <f t="shared" si="7"/>
        <v>29332.405479452053</v>
      </c>
      <c r="M33" s="21"/>
      <c r="N33" s="86">
        <f t="shared" si="8"/>
        <v>243458.96547945205</v>
      </c>
      <c r="O33" s="1"/>
    </row>
    <row r="34" spans="2:15" ht="15.75" thickBot="1">
      <c r="B34" s="17" t="s">
        <v>67</v>
      </c>
      <c r="C34" s="18" t="s">
        <v>68</v>
      </c>
      <c r="D34" s="18"/>
      <c r="E34" s="125">
        <v>40</v>
      </c>
      <c r="F34" s="125" t="s">
        <v>19</v>
      </c>
      <c r="G34" s="125" t="s">
        <v>20</v>
      </c>
      <c r="H34" s="125">
        <v>1</v>
      </c>
      <c r="I34" s="126">
        <f>12588*1.05</f>
        <v>13217.400000000001</v>
      </c>
      <c r="J34" s="87">
        <f t="shared" si="6"/>
        <v>158608.80000000002</v>
      </c>
      <c r="K34" s="88">
        <v>12</v>
      </c>
      <c r="L34" s="74">
        <f t="shared" si="7"/>
        <v>21727.23287671233</v>
      </c>
      <c r="M34" s="127"/>
      <c r="N34" s="86">
        <f t="shared" si="8"/>
        <v>180336.03287671236</v>
      </c>
      <c r="O34" s="1"/>
    </row>
    <row r="35" spans="2:15" ht="15.75" thickBot="1">
      <c r="B35" s="17" t="s">
        <v>172</v>
      </c>
      <c r="C35" s="18" t="s">
        <v>173</v>
      </c>
      <c r="D35" s="18"/>
      <c r="E35" s="125">
        <v>40</v>
      </c>
      <c r="F35" s="125" t="s">
        <v>19</v>
      </c>
      <c r="G35" s="125" t="s">
        <v>20</v>
      </c>
      <c r="H35" s="125">
        <v>1</v>
      </c>
      <c r="I35" s="126">
        <v>14123.64</v>
      </c>
      <c r="J35" s="87">
        <f t="shared" si="6"/>
        <v>169483.68</v>
      </c>
      <c r="K35" s="88">
        <v>12</v>
      </c>
      <c r="L35" s="74">
        <f t="shared" si="7"/>
        <v>23216.942465753425</v>
      </c>
      <c r="M35" s="127"/>
      <c r="N35" s="86">
        <f t="shared" si="8"/>
        <v>192700.6224657534</v>
      </c>
      <c r="O35" s="1"/>
    </row>
    <row r="36" spans="2:14" ht="15.75" thickBot="1">
      <c r="B36" s="22"/>
      <c r="C36" s="23"/>
      <c r="D36" s="24"/>
      <c r="E36" s="25" t="s">
        <v>43</v>
      </c>
      <c r="F36" s="25"/>
      <c r="G36" s="25"/>
      <c r="H36" s="25">
        <f>SUM(H6:H35)</f>
        <v>30</v>
      </c>
      <c r="I36" s="26">
        <f>SUM(I6:I35)</f>
        <v>387590.94</v>
      </c>
      <c r="J36" s="26">
        <f>SUM(J6:J35)</f>
        <v>4457108.919999999</v>
      </c>
      <c r="K36" s="27"/>
      <c r="L36" s="28">
        <f>SUM(L6:L35)</f>
        <v>610562.8657534248</v>
      </c>
      <c r="M36" s="27"/>
      <c r="N36" s="29">
        <f>SUM(N6:N35)</f>
        <v>5067671.785753424</v>
      </c>
    </row>
    <row r="37" spans="2:14" ht="30.75" thickBot="1">
      <c r="B37" s="30" t="s">
        <v>69</v>
      </c>
      <c r="C37" s="7"/>
      <c r="D37" s="151"/>
      <c r="E37" s="9"/>
      <c r="F37" s="9"/>
      <c r="G37" s="9"/>
      <c r="H37" s="9"/>
      <c r="I37" s="7"/>
      <c r="J37" s="7"/>
      <c r="K37" s="7"/>
      <c r="L37" s="7"/>
      <c r="M37" s="7"/>
      <c r="N37" s="31"/>
    </row>
    <row r="38" spans="2:15" ht="15">
      <c r="B38" s="17" t="s">
        <v>53</v>
      </c>
      <c r="C38" s="18" t="s">
        <v>49</v>
      </c>
      <c r="D38" s="18"/>
      <c r="E38" s="19">
        <v>8</v>
      </c>
      <c r="F38" s="19" t="s">
        <v>45</v>
      </c>
      <c r="G38" s="19" t="s">
        <v>20</v>
      </c>
      <c r="H38" s="19">
        <v>1</v>
      </c>
      <c r="I38" s="21">
        <v>9311.72</v>
      </c>
      <c r="J38" s="21">
        <f>I38*K38</f>
        <v>111740.63999999998</v>
      </c>
      <c r="K38" s="18">
        <v>12</v>
      </c>
      <c r="L38" s="21">
        <f>J38/365*50</f>
        <v>15306.936986301369</v>
      </c>
      <c r="M38" s="21"/>
      <c r="N38" s="86">
        <f>J38+L38</f>
        <v>127047.57698630136</v>
      </c>
      <c r="O38" s="1"/>
    </row>
    <row r="39" spans="2:15" ht="15">
      <c r="B39" s="17" t="s">
        <v>46</v>
      </c>
      <c r="C39" s="18" t="s">
        <v>62</v>
      </c>
      <c r="D39" s="18"/>
      <c r="E39" s="19">
        <v>8</v>
      </c>
      <c r="F39" s="19" t="s">
        <v>45</v>
      </c>
      <c r="G39" s="19" t="s">
        <v>20</v>
      </c>
      <c r="H39" s="19">
        <v>1</v>
      </c>
      <c r="I39" s="21">
        <v>6306.2</v>
      </c>
      <c r="J39" s="21">
        <f aca="true" t="shared" si="9" ref="J39:J50">I39*K39</f>
        <v>75674.4</v>
      </c>
      <c r="K39" s="18">
        <v>12</v>
      </c>
      <c r="L39" s="21">
        <f aca="true" t="shared" si="10" ref="L39:L50">J39/365*50</f>
        <v>10366.35616438356</v>
      </c>
      <c r="M39" s="21"/>
      <c r="N39" s="86">
        <f aca="true" t="shared" si="11" ref="N39:N50">J39+L39</f>
        <v>86040.75616438355</v>
      </c>
      <c r="O39" s="1"/>
    </row>
    <row r="40" spans="2:15" ht="15">
      <c r="B40" s="17" t="s">
        <v>46</v>
      </c>
      <c r="C40" s="18" t="s">
        <v>62</v>
      </c>
      <c r="D40" s="18"/>
      <c r="E40" s="19">
        <v>8</v>
      </c>
      <c r="F40" s="19" t="s">
        <v>45</v>
      </c>
      <c r="G40" s="19" t="s">
        <v>20</v>
      </c>
      <c r="H40" s="19">
        <v>1</v>
      </c>
      <c r="I40" s="21">
        <v>6306.2</v>
      </c>
      <c r="J40" s="21">
        <f t="shared" si="9"/>
        <v>75674.4</v>
      </c>
      <c r="K40" s="18">
        <v>12</v>
      </c>
      <c r="L40" s="21">
        <f t="shared" si="10"/>
        <v>10366.35616438356</v>
      </c>
      <c r="M40" s="21"/>
      <c r="N40" s="86">
        <f t="shared" si="11"/>
        <v>86040.75616438355</v>
      </c>
      <c r="O40" s="104"/>
    </row>
    <row r="41" spans="2:15" ht="15">
      <c r="B41" s="17" t="s">
        <v>46</v>
      </c>
      <c r="C41" s="18" t="s">
        <v>62</v>
      </c>
      <c r="D41" s="18"/>
      <c r="E41" s="19">
        <v>8</v>
      </c>
      <c r="F41" s="19" t="s">
        <v>45</v>
      </c>
      <c r="G41" s="19" t="s">
        <v>20</v>
      </c>
      <c r="H41" s="19">
        <v>1</v>
      </c>
      <c r="I41" s="21">
        <v>6223.2</v>
      </c>
      <c r="J41" s="21">
        <f t="shared" si="9"/>
        <v>74678.4</v>
      </c>
      <c r="K41" s="18">
        <v>12</v>
      </c>
      <c r="L41" s="21">
        <f>J41/365*50</f>
        <v>10229.917808219177</v>
      </c>
      <c r="M41" s="21"/>
      <c r="N41" s="86">
        <f>J41+L41</f>
        <v>84908.31780821917</v>
      </c>
      <c r="O41" s="1"/>
    </row>
    <row r="42" spans="2:15" ht="15">
      <c r="B42" s="17" t="s">
        <v>237</v>
      </c>
      <c r="C42" s="18" t="s">
        <v>60</v>
      </c>
      <c r="D42" s="18"/>
      <c r="E42" s="19">
        <v>8</v>
      </c>
      <c r="F42" s="19" t="s">
        <v>45</v>
      </c>
      <c r="G42" s="19" t="s">
        <v>20</v>
      </c>
      <c r="H42" s="19">
        <v>1</v>
      </c>
      <c r="I42" s="21">
        <f>7931*1.05</f>
        <v>8327.550000000001</v>
      </c>
      <c r="J42" s="21">
        <f>I42*K42</f>
        <v>99930.6</v>
      </c>
      <c r="K42" s="18">
        <v>12</v>
      </c>
      <c r="L42" s="21">
        <f>J42/365*50</f>
        <v>13689.123287671233</v>
      </c>
      <c r="M42" s="21"/>
      <c r="N42" s="86">
        <f>J42+L42</f>
        <v>113619.72328767124</v>
      </c>
      <c r="O42" s="1"/>
    </row>
    <row r="43" spans="2:15" ht="15">
      <c r="B43" s="17" t="s">
        <v>41</v>
      </c>
      <c r="C43" s="18" t="s">
        <v>59</v>
      </c>
      <c r="D43" s="18"/>
      <c r="E43" s="19">
        <v>8</v>
      </c>
      <c r="F43" s="19" t="s">
        <v>45</v>
      </c>
      <c r="G43" s="19" t="s">
        <v>20</v>
      </c>
      <c r="H43" s="19">
        <v>1</v>
      </c>
      <c r="I43" s="21">
        <v>8381.08</v>
      </c>
      <c r="J43" s="21">
        <f t="shared" si="9"/>
        <v>100572.95999999999</v>
      </c>
      <c r="K43" s="18">
        <v>12</v>
      </c>
      <c r="L43" s="21">
        <f t="shared" si="10"/>
        <v>13777.117808219176</v>
      </c>
      <c r="M43" s="21"/>
      <c r="N43" s="86">
        <f t="shared" si="11"/>
        <v>114350.07780821917</v>
      </c>
      <c r="O43" s="1"/>
    </row>
    <row r="44" spans="2:15" ht="15">
      <c r="B44" s="17" t="s">
        <v>41</v>
      </c>
      <c r="C44" s="18" t="s">
        <v>59</v>
      </c>
      <c r="D44" s="18"/>
      <c r="E44" s="19">
        <v>8</v>
      </c>
      <c r="F44" s="19" t="s">
        <v>45</v>
      </c>
      <c r="G44" s="19" t="s">
        <v>20</v>
      </c>
      <c r="H44" s="19">
        <v>1</v>
      </c>
      <c r="I44" s="21">
        <f>7352*1.05</f>
        <v>7719.6</v>
      </c>
      <c r="J44" s="21">
        <f>I44*K44</f>
        <v>7719.6</v>
      </c>
      <c r="K44" s="18">
        <v>1</v>
      </c>
      <c r="L44" s="21">
        <f>J44/365*50</f>
        <v>1057.4794520547946</v>
      </c>
      <c r="M44" s="21"/>
      <c r="N44" s="86">
        <f>J44+L44</f>
        <v>8777.079452054795</v>
      </c>
      <c r="O44" s="1"/>
    </row>
    <row r="45" spans="2:14" ht="15">
      <c r="B45" s="1" t="s">
        <v>264</v>
      </c>
      <c r="C45" s="18" t="s">
        <v>59</v>
      </c>
      <c r="D45" s="114"/>
      <c r="E45" s="19">
        <v>8</v>
      </c>
      <c r="F45" s="19" t="s">
        <v>45</v>
      </c>
      <c r="G45" s="19" t="s">
        <v>20</v>
      </c>
      <c r="H45" s="19">
        <v>1</v>
      </c>
      <c r="I45" s="21">
        <v>7720</v>
      </c>
      <c r="J45" s="21">
        <f>I45*K45</f>
        <v>84920</v>
      </c>
      <c r="K45" s="18">
        <v>11</v>
      </c>
      <c r="L45" s="21">
        <f>J45/365*50</f>
        <v>11632.876712328767</v>
      </c>
      <c r="M45" s="21"/>
      <c r="N45" s="86">
        <f>J45+L45</f>
        <v>96552.87671232877</v>
      </c>
    </row>
    <row r="46" spans="2:15" ht="15">
      <c r="B46" s="17" t="s">
        <v>72</v>
      </c>
      <c r="C46" s="18" t="s">
        <v>73</v>
      </c>
      <c r="D46" s="18"/>
      <c r="E46" s="19">
        <v>8</v>
      </c>
      <c r="F46" s="19" t="s">
        <v>45</v>
      </c>
      <c r="G46" s="19" t="s">
        <v>20</v>
      </c>
      <c r="H46" s="19">
        <v>1</v>
      </c>
      <c r="I46" s="21">
        <v>6223.2</v>
      </c>
      <c r="J46" s="21">
        <f t="shared" si="9"/>
        <v>74678.4</v>
      </c>
      <c r="K46" s="18">
        <v>12</v>
      </c>
      <c r="L46" s="21">
        <f t="shared" si="10"/>
        <v>10229.917808219177</v>
      </c>
      <c r="M46" s="21"/>
      <c r="N46" s="86">
        <f t="shared" si="11"/>
        <v>84908.31780821917</v>
      </c>
      <c r="O46" s="1"/>
    </row>
    <row r="47" spans="2:15" ht="15">
      <c r="B47" s="17" t="s">
        <v>70</v>
      </c>
      <c r="C47" s="18" t="s">
        <v>73</v>
      </c>
      <c r="D47" s="18"/>
      <c r="E47" s="19">
        <v>8</v>
      </c>
      <c r="F47" s="19" t="s">
        <v>45</v>
      </c>
      <c r="G47" s="19" t="s">
        <v>20</v>
      </c>
      <c r="H47" s="19">
        <v>1</v>
      </c>
      <c r="I47" s="21">
        <v>6223.2</v>
      </c>
      <c r="J47" s="21">
        <f t="shared" si="9"/>
        <v>74678.4</v>
      </c>
      <c r="K47" s="18">
        <v>12</v>
      </c>
      <c r="L47" s="21">
        <f t="shared" si="10"/>
        <v>10229.917808219177</v>
      </c>
      <c r="M47" s="21"/>
      <c r="N47" s="86">
        <f t="shared" si="11"/>
        <v>84908.31780821917</v>
      </c>
      <c r="O47" s="1"/>
    </row>
    <row r="48" spans="2:15" ht="15">
      <c r="B48" s="17" t="s">
        <v>72</v>
      </c>
      <c r="C48" s="18" t="s">
        <v>1</v>
      </c>
      <c r="D48" s="18"/>
      <c r="E48" s="19">
        <v>8</v>
      </c>
      <c r="F48" s="19" t="s">
        <v>45</v>
      </c>
      <c r="G48" s="19" t="s">
        <v>20</v>
      </c>
      <c r="H48" s="19">
        <v>1</v>
      </c>
      <c r="I48" s="21">
        <v>9715.92</v>
      </c>
      <c r="J48" s="21">
        <f t="shared" si="9"/>
        <v>116591.04000000001</v>
      </c>
      <c r="K48" s="18">
        <v>12</v>
      </c>
      <c r="L48" s="21">
        <f t="shared" si="10"/>
        <v>15971.375342465753</v>
      </c>
      <c r="M48" s="21"/>
      <c r="N48" s="86">
        <f t="shared" si="11"/>
        <v>132562.41534246577</v>
      </c>
      <c r="O48" s="1"/>
    </row>
    <row r="49" spans="2:15" ht="15">
      <c r="B49" s="17" t="s">
        <v>29</v>
      </c>
      <c r="C49" s="18" t="s">
        <v>55</v>
      </c>
      <c r="D49" s="18"/>
      <c r="E49" s="19">
        <v>40</v>
      </c>
      <c r="F49" s="19" t="s">
        <v>45</v>
      </c>
      <c r="G49" s="19" t="s">
        <v>20</v>
      </c>
      <c r="H49" s="19">
        <v>1</v>
      </c>
      <c r="I49" s="21">
        <f>6160*1.05</f>
        <v>6468</v>
      </c>
      <c r="J49" s="21">
        <f t="shared" si="9"/>
        <v>77616</v>
      </c>
      <c r="K49" s="18">
        <v>12</v>
      </c>
      <c r="L49" s="21">
        <f t="shared" si="10"/>
        <v>10632.328767123288</v>
      </c>
      <c r="M49" s="21"/>
      <c r="N49" s="86">
        <f t="shared" si="11"/>
        <v>88248.32876712328</v>
      </c>
      <c r="O49" s="1"/>
    </row>
    <row r="50" spans="2:15" ht="15.75" thickBot="1">
      <c r="B50" s="94" t="s">
        <v>74</v>
      </c>
      <c r="C50" s="88" t="s">
        <v>75</v>
      </c>
      <c r="D50" s="88"/>
      <c r="E50" s="125">
        <v>40</v>
      </c>
      <c r="F50" s="125" t="s">
        <v>45</v>
      </c>
      <c r="G50" s="125" t="s">
        <v>20</v>
      </c>
      <c r="H50" s="125">
        <v>1</v>
      </c>
      <c r="I50" s="127">
        <v>6315.3</v>
      </c>
      <c r="J50" s="21">
        <f t="shared" si="9"/>
        <v>75783.6</v>
      </c>
      <c r="K50" s="88">
        <v>12</v>
      </c>
      <c r="L50" s="21">
        <f t="shared" si="10"/>
        <v>10381.315068493152</v>
      </c>
      <c r="M50" s="127"/>
      <c r="N50" s="86">
        <f t="shared" si="11"/>
        <v>86164.91506849315</v>
      </c>
      <c r="O50" s="1"/>
    </row>
    <row r="51" spans="2:15" ht="15.75" thickBot="1">
      <c r="B51" s="128"/>
      <c r="C51" s="129"/>
      <c r="D51" s="130"/>
      <c r="E51" s="131" t="s">
        <v>43</v>
      </c>
      <c r="F51" s="117"/>
      <c r="G51" s="117"/>
      <c r="H51" s="117">
        <f>SUM(H38:H50)</f>
        <v>13</v>
      </c>
      <c r="I51" s="119">
        <f>SUM(I38:I50)</f>
        <v>95241.17</v>
      </c>
      <c r="J51" s="119">
        <f>SUM(J38:J50)</f>
        <v>1050258.44</v>
      </c>
      <c r="K51" s="120"/>
      <c r="L51" s="119">
        <f>SUM(L38:L50)</f>
        <v>143871.01917808218</v>
      </c>
      <c r="M51" s="119"/>
      <c r="N51" s="119">
        <f>SUM(N38:N50)</f>
        <v>1194129.4591780822</v>
      </c>
      <c r="O51" s="1"/>
    </row>
    <row r="52" spans="2:14" ht="15.75" thickBot="1">
      <c r="B52" s="14"/>
      <c r="C52" s="15"/>
      <c r="D52" s="34"/>
      <c r="E52" s="33" t="s">
        <v>47</v>
      </c>
      <c r="F52" s="8"/>
      <c r="G52" s="8"/>
      <c r="H52" s="8">
        <f>H51+H36</f>
        <v>43</v>
      </c>
      <c r="I52" s="10">
        <f>I51+I36</f>
        <v>482832.11</v>
      </c>
      <c r="J52" s="10">
        <f>J51+J36</f>
        <v>5507367.359999999</v>
      </c>
      <c r="K52" s="11"/>
      <c r="L52" s="10">
        <f>L51+L36</f>
        <v>754433.884931507</v>
      </c>
      <c r="M52" s="10"/>
      <c r="N52" s="10">
        <f>N51+N36</f>
        <v>6261801.244931506</v>
      </c>
    </row>
    <row r="53" ht="15">
      <c r="D53" t="s">
        <v>91</v>
      </c>
    </row>
  </sheetData>
  <sheetProtection/>
  <mergeCells count="3">
    <mergeCell ref="B1:N1"/>
    <mergeCell ref="B2:N2"/>
    <mergeCell ref="B5:N5"/>
  </mergeCells>
  <printOptions/>
  <pageMargins left="0.25" right="0.25" top="0.75" bottom="0.75" header="0.3" footer="0.3"/>
  <pageSetup fitToHeight="0" fitToWidth="1" horizontalDpi="600" verticalDpi="600" orientation="landscape" paperSize="190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61">
      <selection activeCell="C6" sqref="C6:C75"/>
    </sheetView>
  </sheetViews>
  <sheetFormatPr defaultColWidth="11.421875" defaultRowHeight="15"/>
  <cols>
    <col min="1" max="1" width="18.140625" style="108" customWidth="1"/>
    <col min="2" max="2" width="17.28125" style="108" customWidth="1"/>
    <col min="3" max="3" width="34.00390625" style="108" customWidth="1"/>
    <col min="4" max="8" width="11.421875" style="108" customWidth="1"/>
    <col min="9" max="9" width="13.140625" style="108" customWidth="1"/>
    <col min="10" max="12" width="11.421875" style="108" customWidth="1"/>
    <col min="13" max="13" width="13.421875" style="108" customWidth="1"/>
    <col min="14" max="15" width="11.421875" style="108" customWidth="1"/>
  </cols>
  <sheetData>
    <row r="1" spans="1:13" ht="18">
      <c r="A1" s="200" t="s">
        <v>248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2" spans="1:13" ht="18.75" thickBot="1">
      <c r="A2" s="203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</row>
    <row r="3" spans="4:7" ht="15.75" thickBot="1">
      <c r="D3" s="109"/>
      <c r="E3" s="109"/>
      <c r="F3" s="109"/>
      <c r="G3" s="109"/>
    </row>
    <row r="4" spans="1:13" ht="39" thickBo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5" t="s">
        <v>14</v>
      </c>
      <c r="M4" s="35" t="s">
        <v>15</v>
      </c>
    </row>
    <row r="5" spans="1:13" ht="30.75">
      <c r="A5" s="206" t="s">
        <v>76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8"/>
    </row>
    <row r="6" spans="1:14" ht="15">
      <c r="A6" s="18" t="s">
        <v>77</v>
      </c>
      <c r="B6" s="18" t="s">
        <v>78</v>
      </c>
      <c r="C6" s="18"/>
      <c r="D6" s="19">
        <v>40</v>
      </c>
      <c r="E6" s="19" t="s">
        <v>19</v>
      </c>
      <c r="F6" s="19" t="s">
        <v>20</v>
      </c>
      <c r="G6" s="19">
        <v>1</v>
      </c>
      <c r="H6" s="21">
        <f>42800*1.05</f>
        <v>44940</v>
      </c>
      <c r="I6" s="21">
        <f>+H6*J6</f>
        <v>539280</v>
      </c>
      <c r="J6" s="18">
        <v>12</v>
      </c>
      <c r="K6" s="21">
        <f>+I6/365*50</f>
        <v>73873.97260273973</v>
      </c>
      <c r="L6" s="21"/>
      <c r="M6" s="21">
        <f>+I6+K6</f>
        <v>613153.9726027397</v>
      </c>
      <c r="N6" s="114"/>
    </row>
    <row r="7" spans="1:14" ht="15">
      <c r="A7" s="18" t="s">
        <v>79</v>
      </c>
      <c r="B7" s="18" t="s">
        <v>78</v>
      </c>
      <c r="C7" s="18"/>
      <c r="D7" s="19">
        <v>40</v>
      </c>
      <c r="E7" s="19" t="s">
        <v>19</v>
      </c>
      <c r="F7" s="19" t="s">
        <v>20</v>
      </c>
      <c r="G7" s="19">
        <v>1</v>
      </c>
      <c r="H7" s="21">
        <f>27510*1.05</f>
        <v>28885.5</v>
      </c>
      <c r="I7" s="21">
        <f aca="true" t="shared" si="0" ref="I7:I45">+H7*J7</f>
        <v>346626</v>
      </c>
      <c r="J7" s="18">
        <v>12</v>
      </c>
      <c r="K7" s="21">
        <f aca="true" t="shared" si="1" ref="K7:K45">+I7/365*50</f>
        <v>47483.01369863014</v>
      </c>
      <c r="L7" s="21"/>
      <c r="M7" s="21">
        <f aca="true" t="shared" si="2" ref="M7:M45">+I7+K7</f>
        <v>394109.01369863015</v>
      </c>
      <c r="N7" s="114"/>
    </row>
    <row r="8" spans="1:14" ht="15">
      <c r="A8" s="18" t="s">
        <v>56</v>
      </c>
      <c r="B8" s="18" t="s">
        <v>194</v>
      </c>
      <c r="C8" s="152"/>
      <c r="D8" s="19">
        <v>40</v>
      </c>
      <c r="E8" s="19" t="s">
        <v>19</v>
      </c>
      <c r="F8" s="19" t="s">
        <v>20</v>
      </c>
      <c r="G8" s="19">
        <v>1</v>
      </c>
      <c r="H8" s="21">
        <v>18526.76</v>
      </c>
      <c r="I8" s="21">
        <f>+H8*J8</f>
        <v>222321.12</v>
      </c>
      <c r="J8" s="18">
        <v>12</v>
      </c>
      <c r="K8" s="21">
        <f>+I8/365*50</f>
        <v>30454.94794520548</v>
      </c>
      <c r="L8" s="21"/>
      <c r="M8" s="21">
        <f>+I8+K8</f>
        <v>252776.0679452055</v>
      </c>
      <c r="N8" s="104"/>
    </row>
    <row r="9" spans="1:14" ht="15">
      <c r="A9" s="18" t="s">
        <v>219</v>
      </c>
      <c r="B9" s="18" t="s">
        <v>194</v>
      </c>
      <c r="C9" s="18"/>
      <c r="D9" s="19">
        <v>40</v>
      </c>
      <c r="E9" s="19" t="s">
        <v>19</v>
      </c>
      <c r="F9" s="19" t="s">
        <v>20</v>
      </c>
      <c r="G9" s="19">
        <v>1</v>
      </c>
      <c r="H9" s="21">
        <f>14723*1.05</f>
        <v>15459.150000000001</v>
      </c>
      <c r="I9" s="21">
        <f>+H9*J9</f>
        <v>185509.80000000002</v>
      </c>
      <c r="J9" s="18">
        <v>12</v>
      </c>
      <c r="K9" s="21">
        <f>+I9/365*50</f>
        <v>25412.301369863017</v>
      </c>
      <c r="L9" s="21"/>
      <c r="M9" s="21">
        <f>+I9+K9</f>
        <v>210922.10136986303</v>
      </c>
      <c r="N9" s="114"/>
    </row>
    <row r="10" spans="1:14" ht="15">
      <c r="A10" s="18" t="s">
        <v>29</v>
      </c>
      <c r="B10" s="18" t="s">
        <v>194</v>
      </c>
      <c r="C10" s="18"/>
      <c r="D10" s="19">
        <v>40</v>
      </c>
      <c r="E10" s="19" t="s">
        <v>27</v>
      </c>
      <c r="F10" s="19" t="s">
        <v>20</v>
      </c>
      <c r="G10" s="19">
        <v>1</v>
      </c>
      <c r="H10" s="21">
        <v>10948.32</v>
      </c>
      <c r="I10" s="21">
        <f>+H10*J10</f>
        <v>131379.84</v>
      </c>
      <c r="J10" s="18">
        <v>12</v>
      </c>
      <c r="K10" s="21">
        <f>+I10/365*50</f>
        <v>17997.238356164384</v>
      </c>
      <c r="L10" s="21"/>
      <c r="M10" s="21">
        <f>+I10+K10</f>
        <v>149377.0783561644</v>
      </c>
      <c r="N10" s="114"/>
    </row>
    <row r="11" spans="1:14" ht="15">
      <c r="A11" s="18" t="s">
        <v>34</v>
      </c>
      <c r="B11" s="18" t="s">
        <v>78</v>
      </c>
      <c r="C11" s="18"/>
      <c r="D11" s="19">
        <v>40</v>
      </c>
      <c r="E11" s="19" t="s">
        <v>27</v>
      </c>
      <c r="F11" s="19" t="s">
        <v>20</v>
      </c>
      <c r="G11" s="19">
        <v>1</v>
      </c>
      <c r="H11" s="21">
        <v>11909.16</v>
      </c>
      <c r="I11" s="21">
        <f t="shared" si="0"/>
        <v>142909.91999999998</v>
      </c>
      <c r="J11" s="18">
        <v>12</v>
      </c>
      <c r="K11" s="21">
        <f t="shared" si="1"/>
        <v>19576.70136986301</v>
      </c>
      <c r="L11" s="21"/>
      <c r="M11" s="21">
        <f t="shared" si="2"/>
        <v>162486.621369863</v>
      </c>
      <c r="N11" s="104"/>
    </row>
    <row r="12" spans="1:14" ht="15">
      <c r="A12" s="18" t="s">
        <v>80</v>
      </c>
      <c r="B12" s="18" t="s">
        <v>81</v>
      </c>
      <c r="C12" s="18"/>
      <c r="D12" s="19">
        <v>40</v>
      </c>
      <c r="E12" s="19" t="s">
        <v>19</v>
      </c>
      <c r="F12" s="19" t="s">
        <v>20</v>
      </c>
      <c r="G12" s="19">
        <v>1</v>
      </c>
      <c r="H12" s="21">
        <v>21998.92</v>
      </c>
      <c r="I12" s="21">
        <f>+H12*J12</f>
        <v>263987.04</v>
      </c>
      <c r="J12" s="18">
        <v>12</v>
      </c>
      <c r="K12" s="21">
        <f>+I12/365*50</f>
        <v>36162.60821917807</v>
      </c>
      <c r="L12" s="21"/>
      <c r="M12" s="21">
        <f>+I12+K12</f>
        <v>300149.6482191781</v>
      </c>
      <c r="N12" s="104"/>
    </row>
    <row r="13" spans="1:14" ht="15">
      <c r="A13" s="18" t="s">
        <v>180</v>
      </c>
      <c r="B13" s="18" t="s">
        <v>81</v>
      </c>
      <c r="C13" s="18"/>
      <c r="D13" s="19">
        <v>40</v>
      </c>
      <c r="E13" s="19" t="s">
        <v>19</v>
      </c>
      <c r="F13" s="19" t="s">
        <v>20</v>
      </c>
      <c r="G13" s="19">
        <v>1</v>
      </c>
      <c r="H13" s="21">
        <f>18333*1.05</f>
        <v>19249.65</v>
      </c>
      <c r="I13" s="21">
        <f>+H13*J13</f>
        <v>230995.80000000002</v>
      </c>
      <c r="J13" s="18">
        <v>12</v>
      </c>
      <c r="K13" s="21">
        <f>+I13/365*50</f>
        <v>31643.260273972606</v>
      </c>
      <c r="L13" s="21"/>
      <c r="M13" s="21">
        <f>+I13+K13</f>
        <v>262639.06027397263</v>
      </c>
      <c r="N13" s="114"/>
    </row>
    <row r="14" spans="1:14" ht="15">
      <c r="A14" s="18" t="s">
        <v>181</v>
      </c>
      <c r="B14" s="18" t="s">
        <v>81</v>
      </c>
      <c r="C14" s="18"/>
      <c r="D14" s="19">
        <v>40</v>
      </c>
      <c r="E14" s="19" t="s">
        <v>19</v>
      </c>
      <c r="F14" s="19" t="s">
        <v>20</v>
      </c>
      <c r="G14" s="19">
        <v>1</v>
      </c>
      <c r="H14" s="21">
        <f>9166.21*1.05</f>
        <v>9624.520499999999</v>
      </c>
      <c r="I14" s="21">
        <f>+H14*J14</f>
        <v>115494.24599999998</v>
      </c>
      <c r="J14" s="18">
        <v>12</v>
      </c>
      <c r="K14" s="21">
        <f>+I14/365*50</f>
        <v>15821.129589041095</v>
      </c>
      <c r="L14" s="21"/>
      <c r="M14" s="21">
        <f t="shared" si="2"/>
        <v>131315.37558904107</v>
      </c>
      <c r="N14" s="114"/>
    </row>
    <row r="15" spans="1:14" ht="15">
      <c r="A15" s="18" t="s">
        <v>80</v>
      </c>
      <c r="B15" s="18" t="s">
        <v>81</v>
      </c>
      <c r="C15" s="18"/>
      <c r="D15" s="19">
        <v>40</v>
      </c>
      <c r="E15" s="19" t="s">
        <v>19</v>
      </c>
      <c r="F15" s="19" t="s">
        <v>20</v>
      </c>
      <c r="G15" s="19">
        <v>1</v>
      </c>
      <c r="H15" s="21">
        <v>6467.68</v>
      </c>
      <c r="I15" s="21">
        <f>+H15*J15</f>
        <v>77612.16</v>
      </c>
      <c r="J15" s="18">
        <v>12</v>
      </c>
      <c r="K15" s="21">
        <f>+I15/365*50</f>
        <v>10631.802739726028</v>
      </c>
      <c r="L15" s="21"/>
      <c r="M15" s="21">
        <f t="shared" si="2"/>
        <v>88243.96273972603</v>
      </c>
      <c r="N15" s="104"/>
    </row>
    <row r="16" spans="1:14" ht="15">
      <c r="A16" s="18" t="s">
        <v>28</v>
      </c>
      <c r="B16" s="18" t="s">
        <v>81</v>
      </c>
      <c r="C16" s="18"/>
      <c r="D16" s="19">
        <v>40</v>
      </c>
      <c r="E16" s="19" t="s">
        <v>27</v>
      </c>
      <c r="F16" s="19" t="s">
        <v>20</v>
      </c>
      <c r="G16" s="19">
        <v>1</v>
      </c>
      <c r="H16" s="21">
        <f>9058.54*1.05</f>
        <v>9511.467</v>
      </c>
      <c r="I16" s="21">
        <f t="shared" si="0"/>
        <v>114137.604</v>
      </c>
      <c r="J16" s="18">
        <v>12</v>
      </c>
      <c r="K16" s="21">
        <f t="shared" si="1"/>
        <v>15635.288219178083</v>
      </c>
      <c r="L16" s="21"/>
      <c r="M16" s="21">
        <f t="shared" si="2"/>
        <v>129772.89221917809</v>
      </c>
      <c r="N16" s="114"/>
    </row>
    <row r="17" spans="1:14" ht="15">
      <c r="A17" s="18" t="s">
        <v>28</v>
      </c>
      <c r="B17" s="18" t="s">
        <v>81</v>
      </c>
      <c r="C17" s="18"/>
      <c r="D17" s="19">
        <v>40</v>
      </c>
      <c r="E17" s="19" t="s">
        <v>27</v>
      </c>
      <c r="F17" s="19" t="s">
        <v>20</v>
      </c>
      <c r="G17" s="19">
        <v>1</v>
      </c>
      <c r="H17" s="21">
        <v>8555.14</v>
      </c>
      <c r="I17" s="21">
        <f>+H17*J17</f>
        <v>8555.14</v>
      </c>
      <c r="J17" s="18">
        <v>1</v>
      </c>
      <c r="K17" s="21">
        <f>+I17/365*50</f>
        <v>1171.9369863013699</v>
      </c>
      <c r="L17" s="21"/>
      <c r="M17" s="21">
        <f>+I17+K17</f>
        <v>9727.07698630137</v>
      </c>
      <c r="N17" s="114"/>
    </row>
    <row r="18" spans="1:14" ht="15">
      <c r="A18" s="18" t="s">
        <v>28</v>
      </c>
      <c r="B18" s="18" t="s">
        <v>81</v>
      </c>
      <c r="C18" s="18"/>
      <c r="D18" s="19">
        <v>40</v>
      </c>
      <c r="E18" s="19" t="s">
        <v>27</v>
      </c>
      <c r="F18" s="19" t="s">
        <v>20</v>
      </c>
      <c r="G18" s="19">
        <v>1</v>
      </c>
      <c r="H18" s="21">
        <v>9432.04</v>
      </c>
      <c r="I18" s="21">
        <f>+H18*J18</f>
        <v>103752.44</v>
      </c>
      <c r="J18" s="18">
        <v>11</v>
      </c>
      <c r="K18" s="21">
        <f>+I18/365*50</f>
        <v>14212.663013698631</v>
      </c>
      <c r="L18" s="21"/>
      <c r="M18" s="21">
        <f>+I18+K18</f>
        <v>117965.10301369864</v>
      </c>
      <c r="N18" s="114"/>
    </row>
    <row r="19" spans="1:14" ht="15">
      <c r="A19" s="18" t="s">
        <v>182</v>
      </c>
      <c r="B19" s="18" t="s">
        <v>82</v>
      </c>
      <c r="C19" s="18"/>
      <c r="D19" s="19">
        <v>40</v>
      </c>
      <c r="E19" s="19" t="s">
        <v>19</v>
      </c>
      <c r="F19" s="19" t="s">
        <v>20</v>
      </c>
      <c r="G19" s="19">
        <v>1</v>
      </c>
      <c r="H19" s="21">
        <f>16926.95*1.05</f>
        <v>17773.2975</v>
      </c>
      <c r="I19" s="21">
        <f>+H19*J19</f>
        <v>213279.57</v>
      </c>
      <c r="J19" s="18">
        <v>12</v>
      </c>
      <c r="K19" s="21">
        <f>+I19/365*50</f>
        <v>29216.379452054796</v>
      </c>
      <c r="L19" s="21"/>
      <c r="M19" s="21">
        <f>+I19+K19</f>
        <v>242495.9494520548</v>
      </c>
      <c r="N19" s="114"/>
    </row>
    <row r="20" spans="1:14" ht="15">
      <c r="A20" s="18" t="s">
        <v>53</v>
      </c>
      <c r="B20" s="18" t="s">
        <v>82</v>
      </c>
      <c r="C20" s="18"/>
      <c r="D20" s="19">
        <v>40</v>
      </c>
      <c r="E20" s="19" t="s">
        <v>27</v>
      </c>
      <c r="F20" s="19" t="s">
        <v>20</v>
      </c>
      <c r="G20" s="19">
        <v>1</v>
      </c>
      <c r="H20" s="21">
        <f>9913.26*1.05</f>
        <v>10408.923</v>
      </c>
      <c r="I20" s="21">
        <f t="shared" si="0"/>
        <v>124907.076</v>
      </c>
      <c r="J20" s="18">
        <v>12</v>
      </c>
      <c r="K20" s="21">
        <f t="shared" si="1"/>
        <v>17110.558356164383</v>
      </c>
      <c r="L20" s="21"/>
      <c r="M20" s="21">
        <f t="shared" si="2"/>
        <v>142017.63435616437</v>
      </c>
      <c r="N20" s="114"/>
    </row>
    <row r="21" spans="1:14" ht="15">
      <c r="A21" s="18" t="s">
        <v>83</v>
      </c>
      <c r="B21" s="18" t="s">
        <v>82</v>
      </c>
      <c r="C21" s="18"/>
      <c r="D21" s="19">
        <v>40</v>
      </c>
      <c r="E21" s="19" t="s">
        <v>27</v>
      </c>
      <c r="F21" s="19" t="s">
        <v>20</v>
      </c>
      <c r="G21" s="19">
        <v>1</v>
      </c>
      <c r="H21" s="21">
        <v>15671.12</v>
      </c>
      <c r="I21" s="21">
        <f>+H21*J21</f>
        <v>188053.44</v>
      </c>
      <c r="J21" s="18">
        <v>12</v>
      </c>
      <c r="K21" s="21">
        <f>+I21/365*50</f>
        <v>25760.745205479452</v>
      </c>
      <c r="L21" s="21"/>
      <c r="M21" s="21">
        <f>+I21+K21</f>
        <v>213814.18520547944</v>
      </c>
      <c r="N21" s="104"/>
    </row>
    <row r="22" spans="1:14" ht="15">
      <c r="A22" s="18" t="s">
        <v>83</v>
      </c>
      <c r="B22" s="18" t="s">
        <v>82</v>
      </c>
      <c r="C22" s="18"/>
      <c r="D22" s="19">
        <v>40</v>
      </c>
      <c r="E22" s="19" t="s">
        <v>27</v>
      </c>
      <c r="F22" s="19" t="s">
        <v>20</v>
      </c>
      <c r="G22" s="19">
        <v>1</v>
      </c>
      <c r="H22" s="21">
        <f>18206*1.05</f>
        <v>19116.3</v>
      </c>
      <c r="I22" s="21">
        <f>+H22*J22</f>
        <v>229395.59999999998</v>
      </c>
      <c r="J22" s="18">
        <v>12</v>
      </c>
      <c r="K22" s="21">
        <f>+I22/365*50</f>
        <v>31424.054794520544</v>
      </c>
      <c r="L22" s="21"/>
      <c r="M22" s="21">
        <f>+I22+K22</f>
        <v>260819.65479452052</v>
      </c>
      <c r="N22" s="114"/>
    </row>
    <row r="23" spans="1:14" ht="15">
      <c r="A23" s="18" t="s">
        <v>189</v>
      </c>
      <c r="B23" s="18" t="s">
        <v>82</v>
      </c>
      <c r="C23" s="18"/>
      <c r="D23" s="19">
        <v>40</v>
      </c>
      <c r="E23" s="19" t="s">
        <v>27</v>
      </c>
      <c r="F23" s="19" t="s">
        <v>20</v>
      </c>
      <c r="G23" s="19">
        <v>1</v>
      </c>
      <c r="H23" s="21">
        <f>9029.6*1.05</f>
        <v>9481.08</v>
      </c>
      <c r="I23" s="21">
        <f>+H23*J23</f>
        <v>113772.95999999999</v>
      </c>
      <c r="J23" s="18">
        <v>12</v>
      </c>
      <c r="K23" s="21">
        <f>+I23/365*50</f>
        <v>15585.336986301369</v>
      </c>
      <c r="L23" s="21"/>
      <c r="M23" s="21">
        <f>+I23+K23</f>
        <v>129358.29698630136</v>
      </c>
      <c r="N23" s="114"/>
    </row>
    <row r="24" spans="1:14" ht="15">
      <c r="A24" s="18" t="s">
        <v>38</v>
      </c>
      <c r="B24" s="18" t="s">
        <v>84</v>
      </c>
      <c r="C24" s="18"/>
      <c r="D24" s="19">
        <v>40</v>
      </c>
      <c r="E24" s="19" t="s">
        <v>19</v>
      </c>
      <c r="F24" s="19" t="s">
        <v>20</v>
      </c>
      <c r="G24" s="19">
        <v>1</v>
      </c>
      <c r="H24" s="21">
        <f>17983.25*1.05</f>
        <v>18882.412500000002</v>
      </c>
      <c r="I24" s="21">
        <f>+H24*J24</f>
        <v>226588.95</v>
      </c>
      <c r="J24" s="18">
        <v>12</v>
      </c>
      <c r="K24" s="21">
        <f>+I24/365*50</f>
        <v>31039.582191780824</v>
      </c>
      <c r="L24" s="21"/>
      <c r="M24" s="21">
        <f>+I24+K24</f>
        <v>257628.53219178083</v>
      </c>
      <c r="N24" s="114"/>
    </row>
    <row r="25" spans="1:14" ht="15">
      <c r="A25" s="18" t="s">
        <v>83</v>
      </c>
      <c r="B25" s="18" t="s">
        <v>84</v>
      </c>
      <c r="C25" s="18"/>
      <c r="D25" s="19">
        <v>40</v>
      </c>
      <c r="E25" s="19" t="s">
        <v>27</v>
      </c>
      <c r="F25" s="19" t="s">
        <v>20</v>
      </c>
      <c r="G25" s="19">
        <v>1</v>
      </c>
      <c r="H25" s="21">
        <f>10739.76*1.05</f>
        <v>11276.748000000001</v>
      </c>
      <c r="I25" s="21">
        <f>+H25*J25</f>
        <v>135320.97600000002</v>
      </c>
      <c r="J25" s="18">
        <v>12</v>
      </c>
      <c r="K25" s="21">
        <f>+I25/365*50</f>
        <v>18537.120000000003</v>
      </c>
      <c r="L25" s="21"/>
      <c r="M25" s="21">
        <f>+I25+K25</f>
        <v>153858.09600000002</v>
      </c>
      <c r="N25" s="114"/>
    </row>
    <row r="26" spans="1:14" ht="15">
      <c r="A26" s="18" t="s">
        <v>83</v>
      </c>
      <c r="B26" s="18" t="s">
        <v>84</v>
      </c>
      <c r="C26" s="18"/>
      <c r="D26" s="19">
        <v>40</v>
      </c>
      <c r="E26" s="19" t="s">
        <v>27</v>
      </c>
      <c r="F26" s="19" t="s">
        <v>20</v>
      </c>
      <c r="G26" s="19">
        <v>1</v>
      </c>
      <c r="H26" s="21">
        <f>10739.76*1.05</f>
        <v>11276.748000000001</v>
      </c>
      <c r="I26" s="21">
        <f t="shared" si="0"/>
        <v>135320.97600000002</v>
      </c>
      <c r="J26" s="18">
        <v>12</v>
      </c>
      <c r="K26" s="21">
        <f t="shared" si="1"/>
        <v>18537.120000000003</v>
      </c>
      <c r="L26" s="21"/>
      <c r="M26" s="21">
        <f t="shared" si="2"/>
        <v>153858.09600000002</v>
      </c>
      <c r="N26" s="114"/>
    </row>
    <row r="27" spans="1:14" ht="15">
      <c r="A27" s="18" t="s">
        <v>83</v>
      </c>
      <c r="B27" s="18" t="s">
        <v>84</v>
      </c>
      <c r="C27" s="18"/>
      <c r="D27" s="19">
        <v>40</v>
      </c>
      <c r="E27" s="19" t="s">
        <v>27</v>
      </c>
      <c r="F27" s="19" t="s">
        <v>20</v>
      </c>
      <c r="G27" s="19">
        <v>1</v>
      </c>
      <c r="H27" s="21">
        <f>10739.76*1.05</f>
        <v>11276.748000000001</v>
      </c>
      <c r="I27" s="21">
        <f t="shared" si="0"/>
        <v>135320.97600000002</v>
      </c>
      <c r="J27" s="18">
        <v>12</v>
      </c>
      <c r="K27" s="21">
        <f t="shared" si="1"/>
        <v>18537.120000000003</v>
      </c>
      <c r="L27" s="21"/>
      <c r="M27" s="21">
        <f t="shared" si="2"/>
        <v>153858.09600000002</v>
      </c>
      <c r="N27" s="114"/>
    </row>
    <row r="28" spans="1:14" ht="15">
      <c r="A28" s="18" t="s">
        <v>83</v>
      </c>
      <c r="B28" s="18" t="s">
        <v>84</v>
      </c>
      <c r="C28" s="18"/>
      <c r="D28" s="19">
        <v>40</v>
      </c>
      <c r="E28" s="19" t="s">
        <v>27</v>
      </c>
      <c r="F28" s="19" t="s">
        <v>20</v>
      </c>
      <c r="G28" s="19">
        <v>1</v>
      </c>
      <c r="H28" s="21">
        <f>10739.76*1.05</f>
        <v>11276.748000000001</v>
      </c>
      <c r="I28" s="21">
        <f t="shared" si="0"/>
        <v>135320.97600000002</v>
      </c>
      <c r="J28" s="18">
        <v>12</v>
      </c>
      <c r="K28" s="21">
        <f t="shared" si="1"/>
        <v>18537.120000000003</v>
      </c>
      <c r="L28" s="21"/>
      <c r="M28" s="21">
        <f t="shared" si="2"/>
        <v>153858.09600000002</v>
      </c>
      <c r="N28" s="114"/>
    </row>
    <row r="29" spans="1:14" ht="15">
      <c r="A29" s="18" t="s">
        <v>85</v>
      </c>
      <c r="B29" s="18" t="s">
        <v>86</v>
      </c>
      <c r="C29" s="18"/>
      <c r="D29" s="19">
        <v>40</v>
      </c>
      <c r="E29" s="19" t="s">
        <v>27</v>
      </c>
      <c r="F29" s="19" t="s">
        <v>20</v>
      </c>
      <c r="G29" s="19">
        <v>1</v>
      </c>
      <c r="H29" s="21">
        <f>13103.39*1.05</f>
        <v>13758.5595</v>
      </c>
      <c r="I29" s="21">
        <f t="shared" si="0"/>
        <v>165102.71399999998</v>
      </c>
      <c r="J29" s="18">
        <v>12</v>
      </c>
      <c r="K29" s="21">
        <f t="shared" si="1"/>
        <v>22616.8101369863</v>
      </c>
      <c r="L29" s="21"/>
      <c r="M29" s="21">
        <f t="shared" si="2"/>
        <v>187719.5241369863</v>
      </c>
      <c r="N29" s="114"/>
    </row>
    <row r="30" spans="1:14" ht="15">
      <c r="A30" s="18" t="s">
        <v>87</v>
      </c>
      <c r="B30" s="18" t="s">
        <v>86</v>
      </c>
      <c r="C30" s="18"/>
      <c r="D30" s="19">
        <v>40</v>
      </c>
      <c r="E30" s="19" t="s">
        <v>27</v>
      </c>
      <c r="F30" s="19" t="s">
        <v>20</v>
      </c>
      <c r="G30" s="19">
        <v>1</v>
      </c>
      <c r="H30" s="21">
        <v>13758.56</v>
      </c>
      <c r="I30" s="21">
        <f t="shared" si="0"/>
        <v>165102.72</v>
      </c>
      <c r="J30" s="18">
        <v>12</v>
      </c>
      <c r="K30" s="21">
        <f t="shared" si="1"/>
        <v>22616.810958904112</v>
      </c>
      <c r="L30" s="21"/>
      <c r="M30" s="21">
        <f t="shared" si="2"/>
        <v>187719.53095890413</v>
      </c>
      <c r="N30" s="114"/>
    </row>
    <row r="31" spans="1:14" ht="15">
      <c r="A31" s="18" t="s">
        <v>88</v>
      </c>
      <c r="B31" s="18" t="s">
        <v>89</v>
      </c>
      <c r="C31" s="18"/>
      <c r="D31" s="19">
        <v>40</v>
      </c>
      <c r="E31" s="19" t="s">
        <v>19</v>
      </c>
      <c r="F31" s="19" t="s">
        <v>20</v>
      </c>
      <c r="G31" s="19">
        <v>1</v>
      </c>
      <c r="H31" s="21">
        <f>15460.2*1.05</f>
        <v>16233.210000000001</v>
      </c>
      <c r="I31" s="21">
        <f>+H31*J31</f>
        <v>194798.52000000002</v>
      </c>
      <c r="J31" s="18">
        <v>12</v>
      </c>
      <c r="K31" s="21">
        <f>+I31/365*50</f>
        <v>26684.728767123288</v>
      </c>
      <c r="L31" s="21"/>
      <c r="M31" s="21">
        <f>+I31+K31</f>
        <v>221483.2487671233</v>
      </c>
      <c r="N31" s="114"/>
    </row>
    <row r="32" spans="1:14" ht="15">
      <c r="A32" s="18" t="s">
        <v>90</v>
      </c>
      <c r="B32" s="18" t="s">
        <v>89</v>
      </c>
      <c r="C32" s="18"/>
      <c r="D32" s="19">
        <v>40</v>
      </c>
      <c r="E32" s="19" t="s">
        <v>19</v>
      </c>
      <c r="F32" s="19" t="s">
        <v>20</v>
      </c>
      <c r="G32" s="19">
        <v>1</v>
      </c>
      <c r="H32" s="21">
        <f>9833.96*1.05</f>
        <v>10325.658</v>
      </c>
      <c r="I32" s="21">
        <f t="shared" si="0"/>
        <v>123907.896</v>
      </c>
      <c r="J32" s="18">
        <v>12</v>
      </c>
      <c r="K32" s="21">
        <f t="shared" si="1"/>
        <v>16973.684383561646</v>
      </c>
      <c r="L32" s="21"/>
      <c r="M32" s="21">
        <f t="shared" si="2"/>
        <v>140881.58038356164</v>
      </c>
      <c r="N32" s="114"/>
    </row>
    <row r="33" spans="1:14" ht="15">
      <c r="A33" s="18" t="s">
        <v>92</v>
      </c>
      <c r="B33" s="18" t="s">
        <v>78</v>
      </c>
      <c r="C33" s="18"/>
      <c r="D33" s="19">
        <v>40</v>
      </c>
      <c r="E33" s="19" t="s">
        <v>27</v>
      </c>
      <c r="F33" s="19" t="s">
        <v>20</v>
      </c>
      <c r="G33" s="19">
        <v>1</v>
      </c>
      <c r="H33" s="21">
        <f>18789.46*1.05</f>
        <v>19728.933</v>
      </c>
      <c r="I33" s="21">
        <f t="shared" si="0"/>
        <v>236747.196</v>
      </c>
      <c r="J33" s="18">
        <v>12</v>
      </c>
      <c r="K33" s="21">
        <f t="shared" si="1"/>
        <v>32431.122739726026</v>
      </c>
      <c r="L33" s="21"/>
      <c r="M33" s="21">
        <f t="shared" si="2"/>
        <v>269178.31873972603</v>
      </c>
      <c r="N33" s="114"/>
    </row>
    <row r="34" spans="1:14" ht="15">
      <c r="A34" s="18" t="s">
        <v>92</v>
      </c>
      <c r="B34" s="18" t="s">
        <v>78</v>
      </c>
      <c r="C34" s="18"/>
      <c r="D34" s="19">
        <v>40</v>
      </c>
      <c r="E34" s="19" t="s">
        <v>27</v>
      </c>
      <c r="F34" s="19" t="s">
        <v>20</v>
      </c>
      <c r="G34" s="19">
        <v>1</v>
      </c>
      <c r="H34" s="21">
        <f>18789.46*1.05</f>
        <v>19728.933</v>
      </c>
      <c r="I34" s="21">
        <f t="shared" si="0"/>
        <v>236747.196</v>
      </c>
      <c r="J34" s="18">
        <v>12</v>
      </c>
      <c r="K34" s="21">
        <f t="shared" si="1"/>
        <v>32431.122739726026</v>
      </c>
      <c r="L34" s="21"/>
      <c r="M34" s="21">
        <f t="shared" si="2"/>
        <v>269178.31873972603</v>
      </c>
      <c r="N34" s="114"/>
    </row>
    <row r="35" spans="1:14" ht="15">
      <c r="A35" s="18" t="s">
        <v>93</v>
      </c>
      <c r="B35" s="18" t="s">
        <v>78</v>
      </c>
      <c r="C35" s="18"/>
      <c r="D35" s="19">
        <v>40</v>
      </c>
      <c r="E35" s="19" t="s">
        <v>27</v>
      </c>
      <c r="F35" s="19" t="s">
        <v>20</v>
      </c>
      <c r="G35" s="19">
        <v>1</v>
      </c>
      <c r="H35" s="21">
        <f>13103.39*1.05</f>
        <v>13758.5595</v>
      </c>
      <c r="I35" s="21">
        <f t="shared" si="0"/>
        <v>165102.71399999998</v>
      </c>
      <c r="J35" s="18">
        <v>12</v>
      </c>
      <c r="K35" s="21">
        <f t="shared" si="1"/>
        <v>22616.8101369863</v>
      </c>
      <c r="L35" s="21"/>
      <c r="M35" s="21">
        <f t="shared" si="2"/>
        <v>187719.5241369863</v>
      </c>
      <c r="N35" s="114"/>
    </row>
    <row r="36" spans="1:14" ht="15">
      <c r="A36" s="18" t="s">
        <v>280</v>
      </c>
      <c r="B36" s="18" t="s">
        <v>78</v>
      </c>
      <c r="C36" s="18"/>
      <c r="D36" s="19">
        <v>40</v>
      </c>
      <c r="E36" s="19" t="s">
        <v>27</v>
      </c>
      <c r="F36" s="19" t="s">
        <v>20</v>
      </c>
      <c r="G36" s="19">
        <v>1</v>
      </c>
      <c r="H36" s="21">
        <f>13103.39*1.05</f>
        <v>13758.5595</v>
      </c>
      <c r="I36" s="21">
        <f>+H36*J36</f>
        <v>165102.71399999998</v>
      </c>
      <c r="J36" s="18">
        <v>12</v>
      </c>
      <c r="K36" s="21">
        <f>+I36/365*50</f>
        <v>22616.8101369863</v>
      </c>
      <c r="L36" s="21"/>
      <c r="M36" s="21">
        <f>+I36+K36</f>
        <v>187719.5241369863</v>
      </c>
      <c r="N36" s="114"/>
    </row>
    <row r="37" spans="1:14" ht="15">
      <c r="A37" s="18" t="s">
        <v>226</v>
      </c>
      <c r="B37" s="18" t="s">
        <v>78</v>
      </c>
      <c r="C37" s="18"/>
      <c r="D37" s="19">
        <v>40</v>
      </c>
      <c r="E37" s="19" t="s">
        <v>19</v>
      </c>
      <c r="F37" s="19" t="s">
        <v>20</v>
      </c>
      <c r="G37" s="19">
        <v>1</v>
      </c>
      <c r="H37" s="21">
        <f>15460.2*1.05</f>
        <v>16233.210000000001</v>
      </c>
      <c r="I37" s="21">
        <f t="shared" si="0"/>
        <v>194798.52000000002</v>
      </c>
      <c r="J37" s="18">
        <v>12</v>
      </c>
      <c r="K37" s="21">
        <f t="shared" si="1"/>
        <v>26684.728767123288</v>
      </c>
      <c r="L37" s="21"/>
      <c r="M37" s="21">
        <f t="shared" si="2"/>
        <v>221483.2487671233</v>
      </c>
      <c r="N37" s="114"/>
    </row>
    <row r="38" spans="1:14" ht="15">
      <c r="A38" s="18" t="s">
        <v>94</v>
      </c>
      <c r="B38" s="18" t="s">
        <v>78</v>
      </c>
      <c r="C38" s="18"/>
      <c r="D38" s="19">
        <v>40</v>
      </c>
      <c r="E38" s="19" t="s">
        <v>27</v>
      </c>
      <c r="F38" s="19" t="s">
        <v>20</v>
      </c>
      <c r="G38" s="19">
        <v>1</v>
      </c>
      <c r="H38" s="21">
        <f>11673.94*1.05</f>
        <v>12257.637</v>
      </c>
      <c r="I38" s="21">
        <f t="shared" si="0"/>
        <v>147091.644</v>
      </c>
      <c r="J38" s="18">
        <v>12</v>
      </c>
      <c r="K38" s="21">
        <f t="shared" si="1"/>
        <v>20149.5402739726</v>
      </c>
      <c r="L38" s="21"/>
      <c r="M38" s="21">
        <f t="shared" si="2"/>
        <v>167241.1842739726</v>
      </c>
      <c r="N38" s="114"/>
    </row>
    <row r="39" spans="1:14" ht="15">
      <c r="A39" s="18" t="s">
        <v>95</v>
      </c>
      <c r="B39" s="18" t="s">
        <v>96</v>
      </c>
      <c r="C39" s="18"/>
      <c r="D39" s="19">
        <v>40</v>
      </c>
      <c r="E39" s="19" t="s">
        <v>19</v>
      </c>
      <c r="F39" s="19" t="s">
        <v>20</v>
      </c>
      <c r="G39" s="19">
        <v>1</v>
      </c>
      <c r="H39" s="21">
        <v>18185.9</v>
      </c>
      <c r="I39" s="21">
        <f t="shared" si="0"/>
        <v>218230.80000000002</v>
      </c>
      <c r="J39" s="18">
        <v>12</v>
      </c>
      <c r="K39" s="21">
        <f t="shared" si="1"/>
        <v>29894.630136986303</v>
      </c>
      <c r="L39" s="21"/>
      <c r="M39" s="21">
        <f t="shared" si="2"/>
        <v>248125.4301369863</v>
      </c>
      <c r="N39" s="104"/>
    </row>
    <row r="40" spans="1:14" ht="15">
      <c r="A40" s="18" t="s">
        <v>97</v>
      </c>
      <c r="B40" s="18" t="s">
        <v>96</v>
      </c>
      <c r="C40" s="18"/>
      <c r="D40" s="19">
        <v>40</v>
      </c>
      <c r="E40" s="19" t="s">
        <v>19</v>
      </c>
      <c r="F40" s="19" t="s">
        <v>20</v>
      </c>
      <c r="G40" s="19">
        <v>1</v>
      </c>
      <c r="H40" s="21">
        <f>11912.17*1.05</f>
        <v>12507.7785</v>
      </c>
      <c r="I40" s="21">
        <f t="shared" si="0"/>
        <v>150093.342</v>
      </c>
      <c r="J40" s="18">
        <v>12</v>
      </c>
      <c r="K40" s="21">
        <f t="shared" si="1"/>
        <v>20560.73178082192</v>
      </c>
      <c r="L40" s="21"/>
      <c r="M40" s="21">
        <f t="shared" si="2"/>
        <v>170654.07378082193</v>
      </c>
      <c r="N40" s="114"/>
    </row>
    <row r="41" spans="1:14" ht="15">
      <c r="A41" s="18" t="s">
        <v>38</v>
      </c>
      <c r="B41" s="18" t="s">
        <v>98</v>
      </c>
      <c r="C41" s="18"/>
      <c r="D41" s="19">
        <v>40</v>
      </c>
      <c r="E41" s="19" t="s">
        <v>19</v>
      </c>
      <c r="F41" s="19" t="s">
        <v>20</v>
      </c>
      <c r="G41" s="19">
        <v>1</v>
      </c>
      <c r="H41" s="21">
        <v>23221.1</v>
      </c>
      <c r="I41" s="21">
        <f>+H41*J41</f>
        <v>278653.19999999995</v>
      </c>
      <c r="J41" s="18">
        <v>12</v>
      </c>
      <c r="K41" s="21">
        <f>+I41/365*50</f>
        <v>38171.67123287671</v>
      </c>
      <c r="L41" s="21"/>
      <c r="M41" s="21">
        <f>+I41+K41</f>
        <v>316824.87123287667</v>
      </c>
      <c r="N41" s="114"/>
    </row>
    <row r="42" spans="1:14" ht="15">
      <c r="A42" s="18" t="s">
        <v>190</v>
      </c>
      <c r="B42" s="18" t="s">
        <v>98</v>
      </c>
      <c r="C42" s="18"/>
      <c r="D42" s="19">
        <v>40</v>
      </c>
      <c r="E42" s="19" t="s">
        <v>27</v>
      </c>
      <c r="F42" s="19" t="s">
        <v>20</v>
      </c>
      <c r="G42" s="19">
        <v>1</v>
      </c>
      <c r="H42" s="21">
        <f>10323.85*1.05</f>
        <v>10840.042500000001</v>
      </c>
      <c r="I42" s="21">
        <f>+H42*J42</f>
        <v>130080.51000000001</v>
      </c>
      <c r="J42" s="18">
        <v>12</v>
      </c>
      <c r="K42" s="21">
        <f>+I42/365*50</f>
        <v>17819.24794520548</v>
      </c>
      <c r="L42" s="21"/>
      <c r="M42" s="21">
        <f>+I42+K42</f>
        <v>147899.7579452055</v>
      </c>
      <c r="N42" s="114"/>
    </row>
    <row r="43" spans="1:14" ht="15">
      <c r="A43" s="18" t="s">
        <v>99</v>
      </c>
      <c r="B43" s="18" t="s">
        <v>98</v>
      </c>
      <c r="C43" s="18"/>
      <c r="D43" s="19">
        <v>40</v>
      </c>
      <c r="E43" s="19" t="s">
        <v>27</v>
      </c>
      <c r="F43" s="19" t="s">
        <v>20</v>
      </c>
      <c r="G43" s="19">
        <v>1</v>
      </c>
      <c r="H43" s="21">
        <f>10323.85*1.05</f>
        <v>10840.042500000001</v>
      </c>
      <c r="I43" s="21">
        <f t="shared" si="0"/>
        <v>130080.51000000001</v>
      </c>
      <c r="J43" s="18">
        <v>12</v>
      </c>
      <c r="K43" s="21">
        <f t="shared" si="1"/>
        <v>17819.24794520548</v>
      </c>
      <c r="L43" s="21"/>
      <c r="M43" s="21">
        <f t="shared" si="2"/>
        <v>147899.7579452055</v>
      </c>
      <c r="N43" s="114"/>
    </row>
    <row r="44" spans="1:14" ht="15">
      <c r="A44" s="18" t="s">
        <v>100</v>
      </c>
      <c r="B44" s="18" t="s">
        <v>98</v>
      </c>
      <c r="C44" s="18"/>
      <c r="D44" s="19">
        <v>40</v>
      </c>
      <c r="E44" s="19" t="s">
        <v>27</v>
      </c>
      <c r="F44" s="19" t="s">
        <v>20</v>
      </c>
      <c r="G44" s="19">
        <v>1</v>
      </c>
      <c r="H44" s="21">
        <f>10323.85*1.05</f>
        <v>10840.042500000001</v>
      </c>
      <c r="I44" s="21">
        <f t="shared" si="0"/>
        <v>130080.51000000001</v>
      </c>
      <c r="J44" s="18">
        <v>12</v>
      </c>
      <c r="K44" s="21">
        <f t="shared" si="1"/>
        <v>17819.24794520548</v>
      </c>
      <c r="L44" s="21"/>
      <c r="M44" s="21">
        <f t="shared" si="2"/>
        <v>147899.7579452055</v>
      </c>
      <c r="N44" s="114"/>
    </row>
    <row r="45" spans="1:14" ht="15.75" thickBot="1">
      <c r="A45" s="88" t="s">
        <v>101</v>
      </c>
      <c r="B45" s="88" t="s">
        <v>98</v>
      </c>
      <c r="C45" s="88"/>
      <c r="D45" s="125">
        <v>40</v>
      </c>
      <c r="E45" s="125" t="s">
        <v>27</v>
      </c>
      <c r="F45" s="125" t="s">
        <v>20</v>
      </c>
      <c r="G45" s="19">
        <v>1</v>
      </c>
      <c r="H45" s="127">
        <v>12504.62</v>
      </c>
      <c r="I45" s="21">
        <f t="shared" si="0"/>
        <v>150055.44</v>
      </c>
      <c r="J45" s="88">
        <v>12</v>
      </c>
      <c r="K45" s="21">
        <f t="shared" si="1"/>
        <v>20555.539726027397</v>
      </c>
      <c r="L45" s="127"/>
      <c r="M45" s="21">
        <f t="shared" si="2"/>
        <v>170610.9797260274</v>
      </c>
      <c r="N45" s="104"/>
    </row>
    <row r="46" spans="1:13" ht="15.75" thickBot="1">
      <c r="A46" s="36"/>
      <c r="B46" s="37"/>
      <c r="C46" s="37"/>
      <c r="D46" s="25" t="s">
        <v>43</v>
      </c>
      <c r="E46" s="25"/>
      <c r="F46" s="25"/>
      <c r="G46" s="25">
        <f>SUM(G6:G45)</f>
        <v>40</v>
      </c>
      <c r="H46" s="29">
        <f>SUM(H6:H45)</f>
        <v>600429.778</v>
      </c>
      <c r="I46" s="29">
        <f>SUM(I6:I45)</f>
        <v>7101618.755999999</v>
      </c>
      <c r="J46" s="27"/>
      <c r="K46" s="29">
        <f>SUM(K6:K45)</f>
        <v>972824.4871232874</v>
      </c>
      <c r="L46" s="29"/>
      <c r="M46" s="29">
        <f>SUM(M6:M45)</f>
        <v>8074443.243123287</v>
      </c>
    </row>
    <row r="47" spans="1:13" ht="30">
      <c r="A47" s="38" t="s">
        <v>102</v>
      </c>
      <c r="B47" s="110"/>
      <c r="C47" s="110"/>
      <c r="D47" s="111"/>
      <c r="E47" s="111"/>
      <c r="F47" s="111"/>
      <c r="G47" s="111"/>
      <c r="H47" s="112"/>
      <c r="I47" s="112"/>
      <c r="J47" s="110"/>
      <c r="K47" s="112"/>
      <c r="L47" s="112"/>
      <c r="M47" s="113"/>
    </row>
    <row r="48" spans="1:14" ht="15">
      <c r="A48" s="17" t="s">
        <v>195</v>
      </c>
      <c r="B48" s="18" t="s">
        <v>78</v>
      </c>
      <c r="C48" s="18"/>
      <c r="D48" s="19">
        <v>8</v>
      </c>
      <c r="E48" s="19" t="s">
        <v>45</v>
      </c>
      <c r="F48" s="19" t="s">
        <v>20</v>
      </c>
      <c r="G48" s="19">
        <v>1</v>
      </c>
      <c r="H48" s="21">
        <v>6223.2</v>
      </c>
      <c r="I48" s="21">
        <f aca="true" t="shared" si="3" ref="I48:I72">+H48*J48</f>
        <v>74678.4</v>
      </c>
      <c r="J48" s="18">
        <v>12</v>
      </c>
      <c r="K48" s="21">
        <f aca="true" t="shared" si="4" ref="K48:K72">+I48/365*50</f>
        <v>10229.917808219177</v>
      </c>
      <c r="L48" s="21"/>
      <c r="M48" s="21">
        <f aca="true" t="shared" si="5" ref="M48:M72">+I48+K48</f>
        <v>84908.31780821917</v>
      </c>
      <c r="N48" s="114"/>
    </row>
    <row r="49" spans="1:14" ht="15">
      <c r="A49" s="17" t="s">
        <v>53</v>
      </c>
      <c r="B49" s="18" t="s">
        <v>78</v>
      </c>
      <c r="C49" s="18"/>
      <c r="D49" s="19">
        <v>8</v>
      </c>
      <c r="E49" s="19" t="s">
        <v>45</v>
      </c>
      <c r="F49" s="19" t="s">
        <v>20</v>
      </c>
      <c r="G49" s="19">
        <v>1</v>
      </c>
      <c r="H49" s="21">
        <v>9624.52</v>
      </c>
      <c r="I49" s="21">
        <f t="shared" si="3"/>
        <v>115494.24</v>
      </c>
      <c r="J49" s="18">
        <v>12</v>
      </c>
      <c r="K49" s="21">
        <f t="shared" si="4"/>
        <v>15821.12876712329</v>
      </c>
      <c r="L49" s="21"/>
      <c r="M49" s="21">
        <f t="shared" si="5"/>
        <v>131315.3687671233</v>
      </c>
      <c r="N49" s="114"/>
    </row>
    <row r="50" spans="1:14" ht="15">
      <c r="A50" s="17" t="s">
        <v>265</v>
      </c>
      <c r="B50" s="18" t="s">
        <v>78</v>
      </c>
      <c r="C50" s="18"/>
      <c r="D50" s="19">
        <v>8</v>
      </c>
      <c r="E50" s="19" t="s">
        <v>45</v>
      </c>
      <c r="F50" s="19" t="s">
        <v>20</v>
      </c>
      <c r="G50" s="19">
        <v>1</v>
      </c>
      <c r="H50" s="21">
        <v>12710</v>
      </c>
      <c r="I50" s="21">
        <f t="shared" si="3"/>
        <v>152520</v>
      </c>
      <c r="J50" s="18">
        <v>12</v>
      </c>
      <c r="K50" s="21">
        <f t="shared" si="4"/>
        <v>20893.15068493151</v>
      </c>
      <c r="L50" s="21"/>
      <c r="M50" s="21">
        <f t="shared" si="5"/>
        <v>173413.15068493152</v>
      </c>
      <c r="N50" s="104"/>
    </row>
    <row r="51" spans="1:14" ht="15">
      <c r="A51" s="17" t="s">
        <v>53</v>
      </c>
      <c r="B51" s="18" t="s">
        <v>78</v>
      </c>
      <c r="C51" s="18"/>
      <c r="D51" s="19">
        <v>8</v>
      </c>
      <c r="E51" s="19" t="s">
        <v>45</v>
      </c>
      <c r="F51" s="19" t="s">
        <v>20</v>
      </c>
      <c r="G51" s="19">
        <v>1</v>
      </c>
      <c r="H51" s="21">
        <v>10840.04</v>
      </c>
      <c r="I51" s="21">
        <f t="shared" si="3"/>
        <v>130080.48000000001</v>
      </c>
      <c r="J51" s="18">
        <v>12</v>
      </c>
      <c r="K51" s="21">
        <f t="shared" si="4"/>
        <v>17819.24383561644</v>
      </c>
      <c r="L51" s="21"/>
      <c r="M51" s="21">
        <f t="shared" si="5"/>
        <v>147899.72383561646</v>
      </c>
      <c r="N51" s="104"/>
    </row>
    <row r="52" spans="1:14" ht="15">
      <c r="A52" s="17" t="s">
        <v>235</v>
      </c>
      <c r="B52" s="18" t="s">
        <v>78</v>
      </c>
      <c r="C52" s="18"/>
      <c r="D52" s="19">
        <v>8</v>
      </c>
      <c r="E52" s="19" t="s">
        <v>45</v>
      </c>
      <c r="F52" s="19" t="s">
        <v>20</v>
      </c>
      <c r="G52" s="19">
        <v>1</v>
      </c>
      <c r="H52" s="21">
        <v>10175.28</v>
      </c>
      <c r="I52" s="21">
        <f t="shared" si="3"/>
        <v>111928.08</v>
      </c>
      <c r="J52" s="18">
        <v>11</v>
      </c>
      <c r="K52" s="21">
        <f t="shared" si="4"/>
        <v>15332.613698630137</v>
      </c>
      <c r="L52" s="21"/>
      <c r="M52" s="21">
        <f t="shared" si="5"/>
        <v>127260.69369863014</v>
      </c>
      <c r="N52" s="114"/>
    </row>
    <row r="53" spans="1:14" ht="15">
      <c r="A53" s="17" t="s">
        <v>105</v>
      </c>
      <c r="B53" s="18" t="s">
        <v>103</v>
      </c>
      <c r="C53" s="18"/>
      <c r="D53" s="19">
        <v>8</v>
      </c>
      <c r="E53" s="19" t="s">
        <v>45</v>
      </c>
      <c r="F53" s="19" t="s">
        <v>20</v>
      </c>
      <c r="G53" s="19">
        <v>1</v>
      </c>
      <c r="H53" s="21">
        <f>10323.85*1.05</f>
        <v>10840.042500000001</v>
      </c>
      <c r="I53" s="21">
        <f t="shared" si="3"/>
        <v>130080.51000000001</v>
      </c>
      <c r="J53" s="18">
        <v>12</v>
      </c>
      <c r="K53" s="21">
        <f t="shared" si="4"/>
        <v>17819.24794520548</v>
      </c>
      <c r="L53" s="21"/>
      <c r="M53" s="21">
        <f t="shared" si="5"/>
        <v>147899.7579452055</v>
      </c>
      <c r="N53" s="114"/>
    </row>
    <row r="54" spans="1:14" ht="15">
      <c r="A54" s="17" t="s">
        <v>105</v>
      </c>
      <c r="B54" s="18" t="s">
        <v>103</v>
      </c>
      <c r="C54" s="18"/>
      <c r="D54" s="19">
        <v>8</v>
      </c>
      <c r="E54" s="19" t="s">
        <v>45</v>
      </c>
      <c r="F54" s="19" t="s">
        <v>20</v>
      </c>
      <c r="G54" s="19">
        <v>1</v>
      </c>
      <c r="H54" s="21">
        <f>10323.85*1.05</f>
        <v>10840.042500000001</v>
      </c>
      <c r="I54" s="21">
        <f t="shared" si="3"/>
        <v>130080.51000000001</v>
      </c>
      <c r="J54" s="18">
        <v>12</v>
      </c>
      <c r="K54" s="21">
        <f t="shared" si="4"/>
        <v>17819.24794520548</v>
      </c>
      <c r="L54" s="21"/>
      <c r="M54" s="21">
        <f t="shared" si="5"/>
        <v>147899.7579452055</v>
      </c>
      <c r="N54" s="114"/>
    </row>
    <row r="55" spans="1:14" ht="15">
      <c r="A55" s="17" t="s">
        <v>53</v>
      </c>
      <c r="B55" s="18" t="s">
        <v>281</v>
      </c>
      <c r="C55" s="18"/>
      <c r="D55" s="19">
        <v>8</v>
      </c>
      <c r="E55" s="19" t="s">
        <v>45</v>
      </c>
      <c r="F55" s="19" t="s">
        <v>20</v>
      </c>
      <c r="G55" s="19">
        <v>1</v>
      </c>
      <c r="H55" s="21">
        <v>9591.76</v>
      </c>
      <c r="I55" s="21">
        <f>+H55*J55</f>
        <v>115101.12</v>
      </c>
      <c r="J55" s="18">
        <v>12</v>
      </c>
      <c r="K55" s="21">
        <f>+I55/365*50</f>
        <v>15767.276712328765</v>
      </c>
      <c r="L55" s="21"/>
      <c r="M55" s="21">
        <f>+I55+K55</f>
        <v>130868.39671232876</v>
      </c>
      <c r="N55" s="114"/>
    </row>
    <row r="56" spans="1:14" ht="15">
      <c r="A56" s="17" t="s">
        <v>83</v>
      </c>
      <c r="B56" s="18" t="s">
        <v>84</v>
      </c>
      <c r="C56" s="18"/>
      <c r="D56" s="19">
        <v>8</v>
      </c>
      <c r="E56" s="19" t="s">
        <v>45</v>
      </c>
      <c r="F56" s="19" t="s">
        <v>20</v>
      </c>
      <c r="G56" s="19">
        <v>1</v>
      </c>
      <c r="H56" s="21">
        <f>10739.76*1.05</f>
        <v>11276.748000000001</v>
      </c>
      <c r="I56" s="21">
        <f t="shared" si="3"/>
        <v>135320.97600000002</v>
      </c>
      <c r="J56" s="18">
        <v>12</v>
      </c>
      <c r="K56" s="21">
        <f t="shared" si="4"/>
        <v>18537.120000000003</v>
      </c>
      <c r="L56" s="21"/>
      <c r="M56" s="21">
        <f t="shared" si="5"/>
        <v>153858.09600000002</v>
      </c>
      <c r="N56" s="114"/>
    </row>
    <row r="57" spans="1:14" ht="15">
      <c r="A57" s="17" t="s">
        <v>83</v>
      </c>
      <c r="B57" s="18" t="s">
        <v>84</v>
      </c>
      <c r="C57" s="18"/>
      <c r="D57" s="19">
        <v>8</v>
      </c>
      <c r="E57" s="19" t="s">
        <v>45</v>
      </c>
      <c r="F57" s="19" t="s">
        <v>20</v>
      </c>
      <c r="G57" s="19">
        <v>1</v>
      </c>
      <c r="H57" s="21">
        <f>10739.76*1.05</f>
        <v>11276.748000000001</v>
      </c>
      <c r="I57" s="21">
        <f t="shared" si="3"/>
        <v>135320.97600000002</v>
      </c>
      <c r="J57" s="18">
        <v>12</v>
      </c>
      <c r="K57" s="21">
        <f t="shared" si="4"/>
        <v>18537.120000000003</v>
      </c>
      <c r="L57" s="21"/>
      <c r="M57" s="21">
        <f t="shared" si="5"/>
        <v>153858.09600000002</v>
      </c>
      <c r="N57" s="114"/>
    </row>
    <row r="58" spans="1:14" ht="15">
      <c r="A58" s="17" t="s">
        <v>83</v>
      </c>
      <c r="B58" s="18" t="s">
        <v>106</v>
      </c>
      <c r="C58" s="18"/>
      <c r="D58" s="19">
        <v>8</v>
      </c>
      <c r="E58" s="19" t="s">
        <v>45</v>
      </c>
      <c r="F58" s="19" t="s">
        <v>20</v>
      </c>
      <c r="G58" s="19">
        <v>1</v>
      </c>
      <c r="H58" s="21">
        <v>11276.74</v>
      </c>
      <c r="I58" s="21">
        <f t="shared" si="3"/>
        <v>135320.88</v>
      </c>
      <c r="J58" s="18">
        <v>12</v>
      </c>
      <c r="K58" s="21">
        <f t="shared" si="4"/>
        <v>18537.106849315067</v>
      </c>
      <c r="L58" s="21"/>
      <c r="M58" s="21">
        <f t="shared" si="5"/>
        <v>153857.98684931506</v>
      </c>
      <c r="N58" s="114"/>
    </row>
    <row r="59" spans="1:14" ht="15">
      <c r="A59" s="17" t="s">
        <v>83</v>
      </c>
      <c r="B59" s="18" t="s">
        <v>106</v>
      </c>
      <c r="C59" s="18"/>
      <c r="D59" s="19">
        <v>8</v>
      </c>
      <c r="E59" s="19" t="s">
        <v>45</v>
      </c>
      <c r="F59" s="19" t="s">
        <v>20</v>
      </c>
      <c r="G59" s="19">
        <v>1</v>
      </c>
      <c r="H59" s="21">
        <f>9063.52*1.05</f>
        <v>9516.696000000002</v>
      </c>
      <c r="I59" s="21">
        <f t="shared" si="3"/>
        <v>114200.35200000001</v>
      </c>
      <c r="J59" s="18">
        <v>12</v>
      </c>
      <c r="K59" s="21">
        <f t="shared" si="4"/>
        <v>15643.883835616442</v>
      </c>
      <c r="L59" s="21"/>
      <c r="M59" s="21">
        <f t="shared" si="5"/>
        <v>129844.23583561645</v>
      </c>
      <c r="N59" s="114"/>
    </row>
    <row r="60" spans="1:14" ht="15">
      <c r="A60" s="17" t="s">
        <v>83</v>
      </c>
      <c r="B60" s="18" t="s">
        <v>106</v>
      </c>
      <c r="C60" s="18"/>
      <c r="D60" s="19">
        <v>8</v>
      </c>
      <c r="E60" s="19" t="s">
        <v>45</v>
      </c>
      <c r="F60" s="19" t="s">
        <v>20</v>
      </c>
      <c r="G60" s="19">
        <v>1</v>
      </c>
      <c r="H60" s="21">
        <f>9063.52*1.05</f>
        <v>9516.696000000002</v>
      </c>
      <c r="I60" s="21">
        <f t="shared" si="3"/>
        <v>114200.35200000001</v>
      </c>
      <c r="J60" s="18">
        <v>12</v>
      </c>
      <c r="K60" s="21">
        <f t="shared" si="4"/>
        <v>15643.883835616442</v>
      </c>
      <c r="L60" s="21"/>
      <c r="M60" s="21">
        <f t="shared" si="5"/>
        <v>129844.23583561645</v>
      </c>
      <c r="N60" s="114"/>
    </row>
    <row r="61" spans="1:14" ht="15">
      <c r="A61" s="17" t="s">
        <v>83</v>
      </c>
      <c r="B61" s="18" t="s">
        <v>106</v>
      </c>
      <c r="C61" s="18"/>
      <c r="D61" s="19">
        <v>8</v>
      </c>
      <c r="E61" s="19" t="s">
        <v>45</v>
      </c>
      <c r="F61" s="19" t="s">
        <v>20</v>
      </c>
      <c r="G61" s="19">
        <v>1</v>
      </c>
      <c r="H61" s="21">
        <f>9063.52*1.05</f>
        <v>9516.696000000002</v>
      </c>
      <c r="I61" s="21">
        <f t="shared" si="3"/>
        <v>114200.35200000001</v>
      </c>
      <c r="J61" s="18">
        <v>12</v>
      </c>
      <c r="K61" s="21">
        <f t="shared" si="4"/>
        <v>15643.883835616442</v>
      </c>
      <c r="L61" s="21"/>
      <c r="M61" s="21">
        <f t="shared" si="5"/>
        <v>129844.23583561645</v>
      </c>
      <c r="N61" s="114"/>
    </row>
    <row r="62" spans="1:13" ht="15">
      <c r="A62" s="17" t="s">
        <v>83</v>
      </c>
      <c r="B62" s="18" t="s">
        <v>106</v>
      </c>
      <c r="C62" s="18"/>
      <c r="D62" s="19">
        <v>8</v>
      </c>
      <c r="E62" s="19" t="s">
        <v>45</v>
      </c>
      <c r="F62" s="19" t="s">
        <v>20</v>
      </c>
      <c r="G62" s="19">
        <v>1</v>
      </c>
      <c r="H62" s="21">
        <v>9166.2</v>
      </c>
      <c r="I62" s="21">
        <f t="shared" si="3"/>
        <v>109994.40000000001</v>
      </c>
      <c r="J62" s="18">
        <v>12</v>
      </c>
      <c r="K62" s="21">
        <f t="shared" si="4"/>
        <v>15067.726027397262</v>
      </c>
      <c r="L62" s="21"/>
      <c r="M62" s="21">
        <f t="shared" si="5"/>
        <v>125062.12602739727</v>
      </c>
    </row>
    <row r="63" spans="1:13" ht="15">
      <c r="A63" s="18" t="s">
        <v>266</v>
      </c>
      <c r="B63" s="18" t="s">
        <v>106</v>
      </c>
      <c r="C63" s="18"/>
      <c r="D63" s="19">
        <v>8</v>
      </c>
      <c r="E63" s="19" t="s">
        <v>45</v>
      </c>
      <c r="F63" s="19" t="s">
        <v>20</v>
      </c>
      <c r="G63" s="19">
        <v>1</v>
      </c>
      <c r="H63" s="21">
        <v>9970.77</v>
      </c>
      <c r="I63" s="21">
        <f t="shared" si="3"/>
        <v>119649.24</v>
      </c>
      <c r="J63" s="18">
        <v>12</v>
      </c>
      <c r="K63" s="21">
        <f t="shared" si="4"/>
        <v>16390.30684931507</v>
      </c>
      <c r="L63" s="21"/>
      <c r="M63" s="21">
        <f t="shared" si="5"/>
        <v>136039.54684931508</v>
      </c>
    </row>
    <row r="64" spans="1:14" ht="15">
      <c r="A64" s="17" t="s">
        <v>90</v>
      </c>
      <c r="B64" s="18" t="s">
        <v>89</v>
      </c>
      <c r="C64" s="18"/>
      <c r="D64" s="19">
        <v>8</v>
      </c>
      <c r="E64" s="19" t="s">
        <v>45</v>
      </c>
      <c r="F64" s="19" t="s">
        <v>20</v>
      </c>
      <c r="G64" s="19">
        <v>1</v>
      </c>
      <c r="H64" s="21">
        <v>10325.66</v>
      </c>
      <c r="I64" s="21">
        <f t="shared" si="3"/>
        <v>123907.92</v>
      </c>
      <c r="J64" s="18">
        <v>12</v>
      </c>
      <c r="K64" s="21">
        <f t="shared" si="4"/>
        <v>16973.687671232874</v>
      </c>
      <c r="L64" s="21"/>
      <c r="M64" s="21">
        <f t="shared" si="5"/>
        <v>140881.60767123286</v>
      </c>
      <c r="N64" s="114"/>
    </row>
    <row r="65" spans="1:14" ht="15">
      <c r="A65" s="17" t="s">
        <v>83</v>
      </c>
      <c r="B65" s="18" t="s">
        <v>106</v>
      </c>
      <c r="C65" s="18"/>
      <c r="D65" s="19">
        <v>8</v>
      </c>
      <c r="E65" s="19" t="s">
        <v>45</v>
      </c>
      <c r="F65" s="19" t="s">
        <v>20</v>
      </c>
      <c r="G65" s="19">
        <v>1</v>
      </c>
      <c r="H65" s="21">
        <f>9063.52*1.05</f>
        <v>9516.696000000002</v>
      </c>
      <c r="I65" s="21">
        <f>+H65*J65</f>
        <v>114200.35200000001</v>
      </c>
      <c r="J65" s="18">
        <v>12</v>
      </c>
      <c r="K65" s="21">
        <f>+I65/365*50</f>
        <v>15643.883835616442</v>
      </c>
      <c r="L65" s="21"/>
      <c r="M65" s="21">
        <f>+I65+K65</f>
        <v>129844.23583561645</v>
      </c>
      <c r="N65" s="114"/>
    </row>
    <row r="66" spans="1:14" ht="15">
      <c r="A66" s="17" t="s">
        <v>29</v>
      </c>
      <c r="B66" s="18" t="s">
        <v>106</v>
      </c>
      <c r="C66" s="18"/>
      <c r="D66" s="19">
        <v>8</v>
      </c>
      <c r="E66" s="19" t="s">
        <v>45</v>
      </c>
      <c r="F66" s="19" t="s">
        <v>20</v>
      </c>
      <c r="G66" s="19">
        <v>1</v>
      </c>
      <c r="H66" s="21">
        <f>9246*1.05</f>
        <v>9708.300000000001</v>
      </c>
      <c r="I66" s="21">
        <f t="shared" si="3"/>
        <v>116499.6</v>
      </c>
      <c r="J66" s="18">
        <v>12</v>
      </c>
      <c r="K66" s="21">
        <f t="shared" si="4"/>
        <v>15958.849315068494</v>
      </c>
      <c r="L66" s="21"/>
      <c r="M66" s="21">
        <f t="shared" si="5"/>
        <v>132458.4493150685</v>
      </c>
      <c r="N66" s="114"/>
    </row>
    <row r="67" spans="1:14" ht="15">
      <c r="A67" s="17" t="s">
        <v>83</v>
      </c>
      <c r="B67" s="18" t="s">
        <v>84</v>
      </c>
      <c r="C67" s="18"/>
      <c r="D67" s="19">
        <v>8</v>
      </c>
      <c r="E67" s="19" t="s">
        <v>45</v>
      </c>
      <c r="F67" s="19" t="s">
        <v>20</v>
      </c>
      <c r="G67" s="19">
        <v>1</v>
      </c>
      <c r="H67" s="21">
        <v>11276.74</v>
      </c>
      <c r="I67" s="21">
        <f t="shared" si="3"/>
        <v>135320.88</v>
      </c>
      <c r="J67" s="18">
        <v>12</v>
      </c>
      <c r="K67" s="21">
        <f t="shared" si="4"/>
        <v>18537.106849315067</v>
      </c>
      <c r="L67" s="21"/>
      <c r="M67" s="21">
        <f t="shared" si="5"/>
        <v>153857.98684931506</v>
      </c>
      <c r="N67" s="114"/>
    </row>
    <row r="68" spans="1:14" ht="15">
      <c r="A68" s="17" t="s">
        <v>83</v>
      </c>
      <c r="B68" s="18" t="s">
        <v>84</v>
      </c>
      <c r="C68" s="18"/>
      <c r="D68" s="19">
        <v>8</v>
      </c>
      <c r="E68" s="19" t="s">
        <v>45</v>
      </c>
      <c r="F68" s="19" t="s">
        <v>20</v>
      </c>
      <c r="G68" s="19">
        <v>1</v>
      </c>
      <c r="H68" s="21">
        <v>11276.74</v>
      </c>
      <c r="I68" s="21">
        <f t="shared" si="3"/>
        <v>135320.88</v>
      </c>
      <c r="J68" s="18">
        <v>12</v>
      </c>
      <c r="K68" s="21">
        <f t="shared" si="4"/>
        <v>18537.106849315067</v>
      </c>
      <c r="L68" s="21"/>
      <c r="M68" s="21">
        <f t="shared" si="5"/>
        <v>153857.98684931506</v>
      </c>
      <c r="N68" s="114"/>
    </row>
    <row r="69" spans="1:14" ht="15">
      <c r="A69" s="17" t="s">
        <v>83</v>
      </c>
      <c r="B69" s="18" t="s">
        <v>106</v>
      </c>
      <c r="C69" s="18"/>
      <c r="D69" s="19">
        <v>8</v>
      </c>
      <c r="E69" s="19" t="s">
        <v>45</v>
      </c>
      <c r="F69" s="19" t="s">
        <v>20</v>
      </c>
      <c r="G69" s="19">
        <v>1</v>
      </c>
      <c r="H69" s="21">
        <f>9063.52*1.05</f>
        <v>9516.696000000002</v>
      </c>
      <c r="I69" s="21">
        <f t="shared" si="3"/>
        <v>114200.35200000001</v>
      </c>
      <c r="J69" s="18">
        <v>12</v>
      </c>
      <c r="K69" s="21">
        <f t="shared" si="4"/>
        <v>15643.883835616442</v>
      </c>
      <c r="L69" s="21"/>
      <c r="M69" s="21">
        <f t="shared" si="5"/>
        <v>129844.23583561645</v>
      </c>
      <c r="N69" s="114"/>
    </row>
    <row r="70" spans="1:15" ht="15">
      <c r="A70" s="94" t="s">
        <v>205</v>
      </c>
      <c r="B70" s="88" t="s">
        <v>194</v>
      </c>
      <c r="C70" s="88"/>
      <c r="D70" s="19">
        <v>8</v>
      </c>
      <c r="E70" s="19" t="s">
        <v>45</v>
      </c>
      <c r="F70" s="19" t="s">
        <v>20</v>
      </c>
      <c r="G70" s="19">
        <v>1</v>
      </c>
      <c r="H70" s="21">
        <f>7086*1.05</f>
        <v>7440.3</v>
      </c>
      <c r="I70" s="21">
        <f>+H70*J70</f>
        <v>89283.6</v>
      </c>
      <c r="J70" s="18">
        <v>12</v>
      </c>
      <c r="K70" s="21">
        <f>+I70/365*50</f>
        <v>12230.630136986301</v>
      </c>
      <c r="L70" s="21"/>
      <c r="M70" s="21">
        <f>+I70+K70</f>
        <v>101514.23013698631</v>
      </c>
      <c r="N70" s="114"/>
      <c r="O70" s="84"/>
    </row>
    <row r="71" spans="1:15" ht="15">
      <c r="A71" s="94" t="s">
        <v>205</v>
      </c>
      <c r="B71" s="88" t="s">
        <v>194</v>
      </c>
      <c r="C71" s="88"/>
      <c r="D71" s="19">
        <v>8</v>
      </c>
      <c r="E71" s="19" t="s">
        <v>45</v>
      </c>
      <c r="F71" s="19" t="s">
        <v>20</v>
      </c>
      <c r="G71" s="19">
        <v>1</v>
      </c>
      <c r="H71" s="21">
        <f>11913*1.05</f>
        <v>12508.65</v>
      </c>
      <c r="I71" s="21">
        <f>+H71*J71</f>
        <v>150103.8</v>
      </c>
      <c r="J71" s="18">
        <v>12</v>
      </c>
      <c r="K71" s="21">
        <f>+I71/365*50</f>
        <v>20562.16438356164</v>
      </c>
      <c r="L71" s="21"/>
      <c r="M71" s="21">
        <f>+I71+K71</f>
        <v>170665.96438356163</v>
      </c>
      <c r="N71" s="114"/>
      <c r="O71" s="84"/>
    </row>
    <row r="72" spans="1:15" ht="15.75" thickBot="1">
      <c r="A72" s="81" t="s">
        <v>107</v>
      </c>
      <c r="B72" s="76" t="s">
        <v>78</v>
      </c>
      <c r="C72" s="76"/>
      <c r="D72" s="82">
        <v>8</v>
      </c>
      <c r="E72" s="82" t="s">
        <v>45</v>
      </c>
      <c r="F72" s="82" t="s">
        <v>20</v>
      </c>
      <c r="G72" s="19">
        <v>1</v>
      </c>
      <c r="H72" s="83">
        <f>9690.74*1.05</f>
        <v>10175.277</v>
      </c>
      <c r="I72" s="21">
        <f t="shared" si="3"/>
        <v>122103.324</v>
      </c>
      <c r="J72" s="76">
        <v>12</v>
      </c>
      <c r="K72" s="21">
        <f t="shared" si="4"/>
        <v>16726.482739726027</v>
      </c>
      <c r="L72" s="83"/>
      <c r="M72" s="21">
        <f t="shared" si="5"/>
        <v>138829.80673972602</v>
      </c>
      <c r="N72" s="114"/>
      <c r="O72" s="84"/>
    </row>
    <row r="73" spans="1:13" ht="15.75" thickBot="1">
      <c r="A73" s="36"/>
      <c r="B73" s="37"/>
      <c r="C73" s="37"/>
      <c r="D73" s="8" t="s">
        <v>43</v>
      </c>
      <c r="E73" s="8"/>
      <c r="F73" s="8"/>
      <c r="G73" s="8">
        <f>SUM(G48:G72)</f>
        <v>25</v>
      </c>
      <c r="H73" s="10">
        <f>SUM(H48:H72)</f>
        <v>254107.23799999995</v>
      </c>
      <c r="I73" s="10">
        <f>SUM(I48:I72)</f>
        <v>3039111.576</v>
      </c>
      <c r="J73" s="11"/>
      <c r="K73" s="10">
        <f>SUM(K48:K72)</f>
        <v>416316.6542465754</v>
      </c>
      <c r="L73" s="10"/>
      <c r="M73" s="10">
        <f>SUM(M48:M72)</f>
        <v>3455428.2302465755</v>
      </c>
    </row>
    <row r="74" spans="1:13" ht="15.75" thickBot="1">
      <c r="A74" s="39"/>
      <c r="B74" s="40"/>
      <c r="C74" s="40"/>
      <c r="D74" s="8" t="s">
        <v>47</v>
      </c>
      <c r="E74" s="8"/>
      <c r="F74" s="8"/>
      <c r="G74" s="8">
        <f>G73+G46</f>
        <v>65</v>
      </c>
      <c r="H74" s="10">
        <f>H73+H46</f>
        <v>854537.0160000001</v>
      </c>
      <c r="I74" s="10">
        <f>I73+I46</f>
        <v>10140730.331999999</v>
      </c>
      <c r="J74" s="11"/>
      <c r="K74" s="10">
        <f>K73+K46</f>
        <v>1389141.1413698627</v>
      </c>
      <c r="L74" s="10"/>
      <c r="M74" s="10">
        <f>M73+M46</f>
        <v>11529871.473369863</v>
      </c>
    </row>
  </sheetData>
  <sheetProtection/>
  <mergeCells count="3">
    <mergeCell ref="A1:M1"/>
    <mergeCell ref="A2:M2"/>
    <mergeCell ref="A5:M5"/>
  </mergeCells>
  <printOptions/>
  <pageMargins left="0.7" right="0.7" top="0.75" bottom="0.75" header="0.3" footer="0.3"/>
  <pageSetup fitToHeight="0" fitToWidth="1" horizontalDpi="600" verticalDpi="600" orientation="landscape" paperSize="190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PageLayoutView="0" workbookViewId="0" topLeftCell="A1">
      <selection activeCell="C6" sqref="C6:C96"/>
    </sheetView>
  </sheetViews>
  <sheetFormatPr defaultColWidth="11.421875" defaultRowHeight="15"/>
  <cols>
    <col min="1" max="1" width="20.28125" style="0" customWidth="1"/>
    <col min="2" max="2" width="28.00390625" style="0" customWidth="1"/>
    <col min="3" max="3" width="31.8515625" style="0" customWidth="1"/>
    <col min="4" max="4" width="11.57421875" style="0" bestFit="1" customWidth="1"/>
    <col min="7" max="7" width="11.57421875" style="0" bestFit="1" customWidth="1"/>
    <col min="8" max="8" width="14.00390625" style="0" bestFit="1" customWidth="1"/>
    <col min="9" max="9" width="22.8515625" style="0" customWidth="1"/>
    <col min="10" max="10" width="11.57421875" style="0" bestFit="1" customWidth="1"/>
    <col min="11" max="11" width="19.421875" style="0" customWidth="1"/>
    <col min="13" max="13" width="21.140625" style="0" customWidth="1"/>
  </cols>
  <sheetData>
    <row r="1" spans="1:13" ht="18">
      <c r="A1" s="191" t="s">
        <v>248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8.75" thickBot="1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ht="15.75" thickBot="1"/>
    <row r="4" spans="1:13" ht="39" thickBo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41" t="s">
        <v>15</v>
      </c>
    </row>
    <row r="5" spans="1:13" ht="31.5" thickBot="1">
      <c r="A5" s="197" t="s">
        <v>108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1:13" ht="15.75" thickBot="1">
      <c r="A6" s="79" t="s">
        <v>38</v>
      </c>
      <c r="B6" s="73" t="s">
        <v>109</v>
      </c>
      <c r="C6" s="73"/>
      <c r="D6" s="80">
        <v>40</v>
      </c>
      <c r="E6" s="80" t="s">
        <v>19</v>
      </c>
      <c r="F6" s="80" t="s">
        <v>20</v>
      </c>
      <c r="G6" s="80">
        <v>1</v>
      </c>
      <c r="H6" s="74">
        <f>26167.24*1.05</f>
        <v>27475.602000000003</v>
      </c>
      <c r="I6" s="74">
        <f>+H6*J6</f>
        <v>329707.22400000005</v>
      </c>
      <c r="J6" s="80">
        <v>12</v>
      </c>
      <c r="K6" s="74">
        <f>+I6/365*50</f>
        <v>45165.373150684936</v>
      </c>
      <c r="L6" s="74"/>
      <c r="M6" s="85">
        <f>+I6+K6</f>
        <v>374872.597150685</v>
      </c>
    </row>
    <row r="7" spans="1:13" ht="15.75" thickBot="1">
      <c r="A7" s="17" t="s">
        <v>52</v>
      </c>
      <c r="B7" s="18" t="s">
        <v>109</v>
      </c>
      <c r="C7" s="73"/>
      <c r="D7" s="19">
        <v>40</v>
      </c>
      <c r="E7" s="19" t="s">
        <v>19</v>
      </c>
      <c r="F7" s="19" t="s">
        <v>20</v>
      </c>
      <c r="G7" s="80">
        <v>0</v>
      </c>
      <c r="H7" s="21">
        <v>15861.24</v>
      </c>
      <c r="I7" s="74">
        <f aca="true" t="shared" si="0" ref="I7:I47">+H7*J7</f>
        <v>79306.2</v>
      </c>
      <c r="J7" s="19">
        <v>5</v>
      </c>
      <c r="K7" s="74">
        <f>+I7/365*50</f>
        <v>10863.863013698628</v>
      </c>
      <c r="L7" s="21"/>
      <c r="M7" s="85">
        <f>+I7+K7</f>
        <v>90170.06301369863</v>
      </c>
    </row>
    <row r="8" spans="1:13" ht="15.75" thickBot="1">
      <c r="A8" s="17" t="s">
        <v>52</v>
      </c>
      <c r="B8" s="18" t="s">
        <v>109</v>
      </c>
      <c r="C8" s="73"/>
      <c r="D8" s="19">
        <v>40</v>
      </c>
      <c r="E8" s="19" t="s">
        <v>19</v>
      </c>
      <c r="F8" s="19" t="s">
        <v>20</v>
      </c>
      <c r="G8" s="80">
        <v>1</v>
      </c>
      <c r="H8" s="21">
        <v>18252.64</v>
      </c>
      <c r="I8" s="74">
        <f>+H8*J8</f>
        <v>127768.48</v>
      </c>
      <c r="J8" s="19">
        <v>7</v>
      </c>
      <c r="K8" s="74">
        <f>+I8/365*50</f>
        <v>17502.531506849315</v>
      </c>
      <c r="L8" s="21"/>
      <c r="M8" s="85">
        <f>+I8+K8</f>
        <v>145271.01150684932</v>
      </c>
    </row>
    <row r="9" spans="1:13" ht="15.75" thickBot="1">
      <c r="A9" s="17" t="s">
        <v>38</v>
      </c>
      <c r="B9" s="18" t="s">
        <v>110</v>
      </c>
      <c r="C9" s="18"/>
      <c r="D9" s="19">
        <v>40</v>
      </c>
      <c r="E9" s="19" t="s">
        <v>19</v>
      </c>
      <c r="F9" s="19" t="s">
        <v>20</v>
      </c>
      <c r="G9" s="80">
        <v>1</v>
      </c>
      <c r="H9" s="21">
        <v>21998.92</v>
      </c>
      <c r="I9" s="74">
        <f t="shared" si="0"/>
        <v>263987.04</v>
      </c>
      <c r="J9" s="19">
        <v>12</v>
      </c>
      <c r="K9" s="74">
        <f>+I9/365*50</f>
        <v>36162.60821917807</v>
      </c>
      <c r="L9" s="21"/>
      <c r="M9" s="85">
        <f>+I9+K9</f>
        <v>300149.6482191781</v>
      </c>
    </row>
    <row r="10" spans="1:13" ht="15.75" thickBot="1">
      <c r="A10" s="17" t="s">
        <v>111</v>
      </c>
      <c r="B10" s="18" t="s">
        <v>109</v>
      </c>
      <c r="C10" s="18"/>
      <c r="D10" s="19">
        <v>40</v>
      </c>
      <c r="E10" s="19" t="s">
        <v>27</v>
      </c>
      <c r="F10" s="19" t="s">
        <v>20</v>
      </c>
      <c r="G10" s="80">
        <v>1</v>
      </c>
      <c r="H10" s="21">
        <f>10323.85*1.05</f>
        <v>10840.042500000001</v>
      </c>
      <c r="I10" s="74">
        <f t="shared" si="0"/>
        <v>130080.51000000001</v>
      </c>
      <c r="J10" s="19">
        <v>12</v>
      </c>
      <c r="K10" s="74">
        <f aca="true" t="shared" si="1" ref="K10:K47">+I10/365*50</f>
        <v>17819.24794520548</v>
      </c>
      <c r="L10" s="21"/>
      <c r="M10" s="85">
        <f aca="true" t="shared" si="2" ref="M10:M47">+I10+K10</f>
        <v>147899.7579452055</v>
      </c>
    </row>
    <row r="11" spans="1:13" ht="15.75" thickBot="1">
      <c r="A11" s="17" t="s">
        <v>112</v>
      </c>
      <c r="B11" s="18" t="s">
        <v>109</v>
      </c>
      <c r="C11" s="18"/>
      <c r="D11" s="19">
        <v>40</v>
      </c>
      <c r="E11" s="19" t="s">
        <v>27</v>
      </c>
      <c r="F11" s="19" t="s">
        <v>20</v>
      </c>
      <c r="G11" s="80">
        <v>1</v>
      </c>
      <c r="H11" s="21">
        <f>8008.22*1.05</f>
        <v>8408.631000000001</v>
      </c>
      <c r="I11" s="74">
        <f t="shared" si="0"/>
        <v>100903.57200000001</v>
      </c>
      <c r="J11" s="19">
        <v>12</v>
      </c>
      <c r="K11" s="74">
        <f t="shared" si="1"/>
        <v>13822.407123287672</v>
      </c>
      <c r="L11" s="21"/>
      <c r="M11" s="85">
        <f t="shared" si="2"/>
        <v>114725.97912328769</v>
      </c>
    </row>
    <row r="12" spans="1:13" ht="15.75" thickBot="1">
      <c r="A12" s="17" t="s">
        <v>112</v>
      </c>
      <c r="B12" s="18" t="s">
        <v>109</v>
      </c>
      <c r="C12" s="18"/>
      <c r="D12" s="19">
        <v>40</v>
      </c>
      <c r="E12" s="19" t="s">
        <v>27</v>
      </c>
      <c r="F12" s="19" t="s">
        <v>20</v>
      </c>
      <c r="G12" s="80">
        <v>1</v>
      </c>
      <c r="H12" s="21">
        <v>8411.16</v>
      </c>
      <c r="I12" s="74">
        <f t="shared" si="0"/>
        <v>100933.92</v>
      </c>
      <c r="J12" s="19">
        <v>12</v>
      </c>
      <c r="K12" s="74">
        <f t="shared" si="1"/>
        <v>13826.564383561643</v>
      </c>
      <c r="L12" s="21"/>
      <c r="M12" s="85">
        <f t="shared" si="2"/>
        <v>114760.48438356165</v>
      </c>
    </row>
    <row r="13" spans="1:13" ht="15.75" thickBot="1">
      <c r="A13" s="17" t="s">
        <v>112</v>
      </c>
      <c r="B13" s="18" t="s">
        <v>109</v>
      </c>
      <c r="C13" s="18"/>
      <c r="D13" s="19">
        <v>40</v>
      </c>
      <c r="E13" s="19" t="s">
        <v>27</v>
      </c>
      <c r="F13" s="19" t="s">
        <v>20</v>
      </c>
      <c r="G13" s="80">
        <v>1</v>
      </c>
      <c r="H13" s="21">
        <f>7323.81*1.05</f>
        <v>7690.000500000001</v>
      </c>
      <c r="I13" s="74">
        <f t="shared" si="0"/>
        <v>92280.00600000001</v>
      </c>
      <c r="J13" s="19">
        <v>12</v>
      </c>
      <c r="K13" s="74">
        <f>+I13/365*50</f>
        <v>12641.096712328768</v>
      </c>
      <c r="L13" s="21"/>
      <c r="M13" s="85">
        <f>+I13+K13</f>
        <v>104921.10271232878</v>
      </c>
    </row>
    <row r="14" spans="1:13" ht="15.75" thickBot="1">
      <c r="A14" s="17" t="s">
        <v>112</v>
      </c>
      <c r="B14" s="18" t="s">
        <v>109</v>
      </c>
      <c r="C14" s="18"/>
      <c r="D14" s="19">
        <v>40</v>
      </c>
      <c r="E14" s="19" t="s">
        <v>27</v>
      </c>
      <c r="F14" s="19" t="s">
        <v>20</v>
      </c>
      <c r="G14" s="80">
        <v>1</v>
      </c>
      <c r="H14" s="21">
        <f>9252.38*1.05</f>
        <v>9714.999</v>
      </c>
      <c r="I14" s="74">
        <f t="shared" si="0"/>
        <v>116579.988</v>
      </c>
      <c r="J14" s="19">
        <v>12</v>
      </c>
      <c r="K14" s="74">
        <f>+I14/365*50</f>
        <v>15969.861369863014</v>
      </c>
      <c r="L14" s="21"/>
      <c r="M14" s="85">
        <f>+I14+K14</f>
        <v>132549.84936986302</v>
      </c>
    </row>
    <row r="15" spans="1:13" ht="15.75" thickBot="1">
      <c r="A15" s="17" t="s">
        <v>113</v>
      </c>
      <c r="B15" s="18" t="s">
        <v>114</v>
      </c>
      <c r="C15" s="18"/>
      <c r="D15" s="19">
        <v>40</v>
      </c>
      <c r="E15" s="19" t="s">
        <v>27</v>
      </c>
      <c r="F15" s="19" t="s">
        <v>20</v>
      </c>
      <c r="G15" s="80">
        <v>1</v>
      </c>
      <c r="H15" s="21">
        <f>14813.4*1.05</f>
        <v>15554.07</v>
      </c>
      <c r="I15" s="74">
        <f t="shared" si="0"/>
        <v>186648.84</v>
      </c>
      <c r="J15" s="19">
        <v>12</v>
      </c>
      <c r="K15" s="74">
        <f t="shared" si="1"/>
        <v>25568.33424657534</v>
      </c>
      <c r="L15" s="21"/>
      <c r="M15" s="85">
        <f t="shared" si="2"/>
        <v>212217.17424657533</v>
      </c>
    </row>
    <row r="16" spans="1:13" ht="15.75" thickBot="1">
      <c r="A16" s="17" t="s">
        <v>112</v>
      </c>
      <c r="B16" s="18" t="s">
        <v>114</v>
      </c>
      <c r="C16" s="18"/>
      <c r="D16" s="19">
        <v>40</v>
      </c>
      <c r="E16" s="19" t="s">
        <v>27</v>
      </c>
      <c r="F16" s="19" t="s">
        <v>20</v>
      </c>
      <c r="G16" s="80">
        <v>1</v>
      </c>
      <c r="H16" s="21">
        <f>8010.6*1.05</f>
        <v>8411.130000000001</v>
      </c>
      <c r="I16" s="74">
        <f t="shared" si="0"/>
        <v>100933.56000000001</v>
      </c>
      <c r="J16" s="19">
        <v>12</v>
      </c>
      <c r="K16" s="74">
        <f t="shared" si="1"/>
        <v>13826.51506849315</v>
      </c>
      <c r="L16" s="21"/>
      <c r="M16" s="85">
        <f t="shared" si="2"/>
        <v>114760.07506849317</v>
      </c>
    </row>
    <row r="17" spans="1:13" ht="15.75" thickBot="1">
      <c r="A17" s="17" t="s">
        <v>112</v>
      </c>
      <c r="B17" s="18" t="s">
        <v>114</v>
      </c>
      <c r="C17" s="18"/>
      <c r="D17" s="19">
        <v>40</v>
      </c>
      <c r="E17" s="19" t="s">
        <v>27</v>
      </c>
      <c r="F17" s="19" t="s">
        <v>20</v>
      </c>
      <c r="G17" s="80">
        <v>1</v>
      </c>
      <c r="H17" s="21">
        <f>10273.45*1.05</f>
        <v>10787.122500000001</v>
      </c>
      <c r="I17" s="74">
        <f t="shared" si="0"/>
        <v>129445.47000000002</v>
      </c>
      <c r="J17" s="19">
        <v>12</v>
      </c>
      <c r="K17" s="74">
        <f t="shared" si="1"/>
        <v>17732.25616438356</v>
      </c>
      <c r="L17" s="21"/>
      <c r="M17" s="85">
        <f t="shared" si="2"/>
        <v>147177.72616438358</v>
      </c>
    </row>
    <row r="18" spans="1:13" ht="15.75" thickBot="1">
      <c r="A18" s="17" t="s">
        <v>115</v>
      </c>
      <c r="B18" s="18" t="s">
        <v>114</v>
      </c>
      <c r="C18" s="18"/>
      <c r="D18" s="19">
        <v>40</v>
      </c>
      <c r="E18" s="19" t="s">
        <v>27</v>
      </c>
      <c r="F18" s="19" t="s">
        <v>20</v>
      </c>
      <c r="G18" s="80">
        <v>1</v>
      </c>
      <c r="H18" s="21">
        <f>19165.65*1.05</f>
        <v>20123.932500000003</v>
      </c>
      <c r="I18" s="74">
        <f t="shared" si="0"/>
        <v>241487.19000000003</v>
      </c>
      <c r="J18" s="19">
        <v>12</v>
      </c>
      <c r="K18" s="74">
        <f t="shared" si="1"/>
        <v>33080.43698630137</v>
      </c>
      <c r="L18" s="21"/>
      <c r="M18" s="85">
        <f t="shared" si="2"/>
        <v>274567.6269863014</v>
      </c>
    </row>
    <row r="19" spans="1:13" ht="15.75" thickBot="1">
      <c r="A19" s="17" t="s">
        <v>236</v>
      </c>
      <c r="B19" s="18" t="s">
        <v>114</v>
      </c>
      <c r="C19" s="18"/>
      <c r="D19" s="19">
        <v>40</v>
      </c>
      <c r="E19" s="19" t="s">
        <v>27</v>
      </c>
      <c r="F19" s="19" t="s">
        <v>20</v>
      </c>
      <c r="G19" s="80">
        <v>1</v>
      </c>
      <c r="H19" s="21">
        <v>25930.8</v>
      </c>
      <c r="I19" s="74">
        <f>+H19*J19</f>
        <v>311169.6</v>
      </c>
      <c r="J19" s="19">
        <v>12</v>
      </c>
      <c r="K19" s="74">
        <f>+I19/365*50</f>
        <v>42625.97260273972</v>
      </c>
      <c r="L19" s="21"/>
      <c r="M19" s="85">
        <f>+I19+K19</f>
        <v>353795.5726027397</v>
      </c>
    </row>
    <row r="20" spans="1:13" ht="15.75" thickBot="1">
      <c r="A20" s="17" t="s">
        <v>53</v>
      </c>
      <c r="B20" s="18" t="s">
        <v>117</v>
      </c>
      <c r="C20" s="18"/>
      <c r="D20" s="19">
        <v>40</v>
      </c>
      <c r="E20" s="19" t="s">
        <v>27</v>
      </c>
      <c r="F20" s="19" t="s">
        <v>20</v>
      </c>
      <c r="G20" s="80">
        <v>1</v>
      </c>
      <c r="H20" s="21">
        <f>8076.6*1.05</f>
        <v>8480.43</v>
      </c>
      <c r="I20" s="74">
        <f t="shared" si="0"/>
        <v>101765.16</v>
      </c>
      <c r="J20" s="19">
        <v>12</v>
      </c>
      <c r="K20" s="74">
        <f>+I20/365*50</f>
        <v>13940.43287671233</v>
      </c>
      <c r="L20" s="21"/>
      <c r="M20" s="85">
        <f>+I20+K20</f>
        <v>115705.59287671233</v>
      </c>
    </row>
    <row r="21" spans="1:13" ht="15.75" thickBot="1">
      <c r="A21" s="17" t="s">
        <v>116</v>
      </c>
      <c r="B21" s="18" t="s">
        <v>117</v>
      </c>
      <c r="C21" s="18"/>
      <c r="D21" s="19">
        <v>40</v>
      </c>
      <c r="E21" s="19" t="s">
        <v>27</v>
      </c>
      <c r="F21" s="19" t="s">
        <v>20</v>
      </c>
      <c r="G21" s="80">
        <v>1</v>
      </c>
      <c r="H21" s="21">
        <v>10506.54</v>
      </c>
      <c r="I21" s="74">
        <f t="shared" si="0"/>
        <v>126078.48000000001</v>
      </c>
      <c r="J21" s="19">
        <v>12</v>
      </c>
      <c r="K21" s="74">
        <f t="shared" si="1"/>
        <v>17271.024657534246</v>
      </c>
      <c r="L21" s="21"/>
      <c r="M21" s="85">
        <f t="shared" si="2"/>
        <v>143349.50465753424</v>
      </c>
    </row>
    <row r="22" spans="1:13" ht="15.75" thickBot="1">
      <c r="A22" s="17" t="s">
        <v>118</v>
      </c>
      <c r="B22" s="18" t="s">
        <v>117</v>
      </c>
      <c r="C22" s="18"/>
      <c r="D22" s="19">
        <v>40</v>
      </c>
      <c r="E22" s="19" t="s">
        <v>27</v>
      </c>
      <c r="F22" s="19" t="s">
        <v>20</v>
      </c>
      <c r="G22" s="80">
        <v>1</v>
      </c>
      <c r="H22" s="21">
        <f>14008.77*1.05</f>
        <v>14709.2085</v>
      </c>
      <c r="I22" s="74">
        <f t="shared" si="0"/>
        <v>176510.502</v>
      </c>
      <c r="J22" s="19">
        <v>12</v>
      </c>
      <c r="K22" s="74">
        <f t="shared" si="1"/>
        <v>24179.52082191781</v>
      </c>
      <c r="L22" s="21"/>
      <c r="M22" s="85">
        <f t="shared" si="2"/>
        <v>200690.0228219178</v>
      </c>
    </row>
    <row r="23" spans="1:13" ht="15.75" thickBot="1">
      <c r="A23" s="17" t="s">
        <v>119</v>
      </c>
      <c r="B23" s="18" t="s">
        <v>117</v>
      </c>
      <c r="C23" s="18"/>
      <c r="D23" s="19">
        <v>40</v>
      </c>
      <c r="E23" s="19" t="s">
        <v>27</v>
      </c>
      <c r="F23" s="19" t="s">
        <v>20</v>
      </c>
      <c r="G23" s="80">
        <v>1</v>
      </c>
      <c r="H23" s="21">
        <f>8788.58*1.05</f>
        <v>9228.009</v>
      </c>
      <c r="I23" s="74">
        <f t="shared" si="0"/>
        <v>110736.10800000001</v>
      </c>
      <c r="J23" s="19">
        <v>12</v>
      </c>
      <c r="K23" s="74">
        <f t="shared" si="1"/>
        <v>15169.329863013701</v>
      </c>
      <c r="L23" s="21"/>
      <c r="M23" s="85">
        <f t="shared" si="2"/>
        <v>125905.4378630137</v>
      </c>
    </row>
    <row r="24" spans="1:13" ht="15.75" thickBot="1">
      <c r="A24" s="17" t="s">
        <v>119</v>
      </c>
      <c r="B24" s="18" t="s">
        <v>117</v>
      </c>
      <c r="C24" s="18"/>
      <c r="D24" s="19">
        <v>40</v>
      </c>
      <c r="E24" s="19" t="s">
        <v>27</v>
      </c>
      <c r="F24" s="19" t="s">
        <v>20</v>
      </c>
      <c r="G24" s="80">
        <v>1</v>
      </c>
      <c r="H24" s="21">
        <f>8788.58*1.05</f>
        <v>9228.009</v>
      </c>
      <c r="I24" s="74">
        <f t="shared" si="0"/>
        <v>110736.10800000001</v>
      </c>
      <c r="J24" s="19">
        <v>12</v>
      </c>
      <c r="K24" s="74">
        <f t="shared" si="1"/>
        <v>15169.329863013701</v>
      </c>
      <c r="L24" s="21"/>
      <c r="M24" s="85">
        <f t="shared" si="2"/>
        <v>125905.4378630137</v>
      </c>
    </row>
    <row r="25" spans="1:13" ht="15.75" thickBot="1">
      <c r="A25" s="17" t="s">
        <v>119</v>
      </c>
      <c r="B25" s="18" t="s">
        <v>117</v>
      </c>
      <c r="C25" s="18"/>
      <c r="D25" s="19">
        <v>40</v>
      </c>
      <c r="E25" s="19" t="s">
        <v>27</v>
      </c>
      <c r="F25" s="19" t="s">
        <v>20</v>
      </c>
      <c r="G25" s="80">
        <v>1</v>
      </c>
      <c r="H25" s="21">
        <f>8788.58*1.05</f>
        <v>9228.009</v>
      </c>
      <c r="I25" s="74">
        <f t="shared" si="0"/>
        <v>110736.10800000001</v>
      </c>
      <c r="J25" s="19">
        <v>12</v>
      </c>
      <c r="K25" s="74">
        <f t="shared" si="1"/>
        <v>15169.329863013701</v>
      </c>
      <c r="L25" s="21"/>
      <c r="M25" s="85">
        <f t="shared" si="2"/>
        <v>125905.4378630137</v>
      </c>
    </row>
    <row r="26" spans="1:13" ht="15.75" thickBot="1">
      <c r="A26" s="17" t="s">
        <v>119</v>
      </c>
      <c r="B26" s="18" t="s">
        <v>117</v>
      </c>
      <c r="C26" s="18"/>
      <c r="D26" s="19">
        <v>40</v>
      </c>
      <c r="E26" s="19" t="s">
        <v>27</v>
      </c>
      <c r="F26" s="19" t="s">
        <v>20</v>
      </c>
      <c r="G26" s="80">
        <v>1</v>
      </c>
      <c r="H26" s="21">
        <f>9742.62*1.05</f>
        <v>10229.751000000002</v>
      </c>
      <c r="I26" s="74">
        <f t="shared" si="0"/>
        <v>122757.01200000002</v>
      </c>
      <c r="J26" s="19">
        <v>12</v>
      </c>
      <c r="K26" s="74">
        <f t="shared" si="1"/>
        <v>16816.029041095895</v>
      </c>
      <c r="L26" s="21"/>
      <c r="M26" s="85">
        <f t="shared" si="2"/>
        <v>139573.04104109592</v>
      </c>
    </row>
    <row r="27" spans="1:13" ht="15.75" thickBot="1">
      <c r="A27" s="17" t="s">
        <v>119</v>
      </c>
      <c r="B27" s="18" t="s">
        <v>117</v>
      </c>
      <c r="C27" s="18"/>
      <c r="D27" s="19">
        <v>40</v>
      </c>
      <c r="E27" s="19" t="s">
        <v>27</v>
      </c>
      <c r="F27" s="19" t="s">
        <v>20</v>
      </c>
      <c r="G27" s="80">
        <v>1</v>
      </c>
      <c r="H27" s="21">
        <f>8788.58*1.05</f>
        <v>9228.009</v>
      </c>
      <c r="I27" s="74">
        <f t="shared" si="0"/>
        <v>110736.10800000001</v>
      </c>
      <c r="J27" s="19">
        <v>12</v>
      </c>
      <c r="K27" s="74">
        <f t="shared" si="1"/>
        <v>15169.329863013701</v>
      </c>
      <c r="L27" s="21"/>
      <c r="M27" s="85">
        <f t="shared" si="2"/>
        <v>125905.4378630137</v>
      </c>
    </row>
    <row r="28" spans="1:13" ht="15.75" thickBot="1">
      <c r="A28" s="17" t="s">
        <v>119</v>
      </c>
      <c r="B28" s="18" t="s">
        <v>117</v>
      </c>
      <c r="C28" s="18"/>
      <c r="D28" s="19">
        <v>40</v>
      </c>
      <c r="E28" s="19" t="s">
        <v>27</v>
      </c>
      <c r="F28" s="19" t="s">
        <v>20</v>
      </c>
      <c r="G28" s="80">
        <v>1</v>
      </c>
      <c r="H28" s="21">
        <f>10986*1.05</f>
        <v>11535.300000000001</v>
      </c>
      <c r="I28" s="74">
        <f>+H28*J28</f>
        <v>138423.6</v>
      </c>
      <c r="J28" s="19">
        <v>12</v>
      </c>
      <c r="K28" s="74">
        <f>+I28/365*50</f>
        <v>18962.13698630137</v>
      </c>
      <c r="L28" s="21"/>
      <c r="M28" s="85">
        <f>+I28+K28</f>
        <v>157385.73698630137</v>
      </c>
    </row>
    <row r="29" spans="1:13" ht="15.75" thickBot="1">
      <c r="A29" s="17" t="s">
        <v>119</v>
      </c>
      <c r="B29" s="18" t="s">
        <v>117</v>
      </c>
      <c r="C29" s="18"/>
      <c r="D29" s="19">
        <v>40</v>
      </c>
      <c r="E29" s="19" t="s">
        <v>27</v>
      </c>
      <c r="F29" s="19" t="s">
        <v>20</v>
      </c>
      <c r="G29" s="80">
        <v>1</v>
      </c>
      <c r="H29" s="21">
        <v>10229.78</v>
      </c>
      <c r="I29" s="74">
        <f t="shared" si="0"/>
        <v>122757.36000000002</v>
      </c>
      <c r="J29" s="19">
        <v>12</v>
      </c>
      <c r="K29" s="74">
        <f t="shared" si="1"/>
        <v>16816.07671232877</v>
      </c>
      <c r="L29" s="21"/>
      <c r="M29" s="85">
        <f t="shared" si="2"/>
        <v>139573.43671232878</v>
      </c>
    </row>
    <row r="30" spans="1:13" ht="15.75" thickBot="1">
      <c r="A30" s="17" t="s">
        <v>119</v>
      </c>
      <c r="B30" s="18" t="s">
        <v>117</v>
      </c>
      <c r="C30" s="18"/>
      <c r="D30" s="19">
        <v>40</v>
      </c>
      <c r="E30" s="19" t="s">
        <v>27</v>
      </c>
      <c r="F30" s="19" t="s">
        <v>20</v>
      </c>
      <c r="G30" s="80">
        <v>1</v>
      </c>
      <c r="H30" s="21">
        <f aca="true" t="shared" si="3" ref="H30:H35">8788.58*1.05</f>
        <v>9228.009</v>
      </c>
      <c r="I30" s="74">
        <f t="shared" si="0"/>
        <v>110736.10800000001</v>
      </c>
      <c r="J30" s="19">
        <v>12</v>
      </c>
      <c r="K30" s="74">
        <f t="shared" si="1"/>
        <v>15169.329863013701</v>
      </c>
      <c r="L30" s="21"/>
      <c r="M30" s="85">
        <f t="shared" si="2"/>
        <v>125905.4378630137</v>
      </c>
    </row>
    <row r="31" spans="1:13" ht="15.75" thickBot="1">
      <c r="A31" s="17" t="s">
        <v>119</v>
      </c>
      <c r="B31" s="18" t="s">
        <v>117</v>
      </c>
      <c r="C31" s="18"/>
      <c r="D31" s="19">
        <v>40</v>
      </c>
      <c r="E31" s="19" t="s">
        <v>27</v>
      </c>
      <c r="F31" s="19" t="s">
        <v>20</v>
      </c>
      <c r="G31" s="80">
        <v>1</v>
      </c>
      <c r="H31" s="21">
        <f t="shared" si="3"/>
        <v>9228.009</v>
      </c>
      <c r="I31" s="74">
        <f t="shared" si="0"/>
        <v>110736.10800000001</v>
      </c>
      <c r="J31" s="19">
        <v>12</v>
      </c>
      <c r="K31" s="74">
        <f t="shared" si="1"/>
        <v>15169.329863013701</v>
      </c>
      <c r="L31" s="21"/>
      <c r="M31" s="85">
        <f t="shared" si="2"/>
        <v>125905.4378630137</v>
      </c>
    </row>
    <row r="32" spans="1:13" ht="15.75" thickBot="1">
      <c r="A32" s="17" t="s">
        <v>119</v>
      </c>
      <c r="B32" s="18" t="s">
        <v>117</v>
      </c>
      <c r="C32" s="18"/>
      <c r="D32" s="19">
        <v>40</v>
      </c>
      <c r="E32" s="19" t="s">
        <v>27</v>
      </c>
      <c r="F32" s="19" t="s">
        <v>20</v>
      </c>
      <c r="G32" s="80">
        <v>1</v>
      </c>
      <c r="H32" s="21">
        <f t="shared" si="3"/>
        <v>9228.009</v>
      </c>
      <c r="I32" s="74">
        <f t="shared" si="0"/>
        <v>110736.10800000001</v>
      </c>
      <c r="J32" s="19">
        <v>12</v>
      </c>
      <c r="K32" s="74">
        <f t="shared" si="1"/>
        <v>15169.329863013701</v>
      </c>
      <c r="L32" s="21"/>
      <c r="M32" s="85">
        <f t="shared" si="2"/>
        <v>125905.4378630137</v>
      </c>
    </row>
    <row r="33" spans="1:13" ht="15.75" thickBot="1">
      <c r="A33" s="17" t="s">
        <v>119</v>
      </c>
      <c r="B33" s="18" t="s">
        <v>117</v>
      </c>
      <c r="C33" s="18"/>
      <c r="D33" s="19">
        <v>40</v>
      </c>
      <c r="E33" s="19" t="s">
        <v>27</v>
      </c>
      <c r="F33" s="19" t="s">
        <v>20</v>
      </c>
      <c r="G33" s="80">
        <v>1</v>
      </c>
      <c r="H33" s="21">
        <f t="shared" si="3"/>
        <v>9228.009</v>
      </c>
      <c r="I33" s="74">
        <f t="shared" si="0"/>
        <v>110736.10800000001</v>
      </c>
      <c r="J33" s="19">
        <v>12</v>
      </c>
      <c r="K33" s="74">
        <f t="shared" si="1"/>
        <v>15169.329863013701</v>
      </c>
      <c r="L33" s="21"/>
      <c r="M33" s="85">
        <f t="shared" si="2"/>
        <v>125905.4378630137</v>
      </c>
    </row>
    <row r="34" spans="1:13" ht="15.75" thickBot="1">
      <c r="A34" s="17" t="s">
        <v>119</v>
      </c>
      <c r="B34" s="18" t="s">
        <v>117</v>
      </c>
      <c r="C34" s="18"/>
      <c r="D34" s="19">
        <v>40</v>
      </c>
      <c r="E34" s="19" t="s">
        <v>27</v>
      </c>
      <c r="F34" s="19" t="s">
        <v>20</v>
      </c>
      <c r="G34" s="80">
        <v>1</v>
      </c>
      <c r="H34" s="21">
        <f t="shared" si="3"/>
        <v>9228.009</v>
      </c>
      <c r="I34" s="74">
        <f t="shared" si="0"/>
        <v>110736.10800000001</v>
      </c>
      <c r="J34" s="19">
        <v>12</v>
      </c>
      <c r="K34" s="74">
        <f t="shared" si="1"/>
        <v>15169.329863013701</v>
      </c>
      <c r="L34" s="21"/>
      <c r="M34" s="85">
        <f t="shared" si="2"/>
        <v>125905.4378630137</v>
      </c>
    </row>
    <row r="35" spans="1:13" ht="15.75" thickBot="1">
      <c r="A35" s="17" t="s">
        <v>119</v>
      </c>
      <c r="B35" s="18" t="s">
        <v>117</v>
      </c>
      <c r="C35" s="18"/>
      <c r="D35" s="19">
        <v>40</v>
      </c>
      <c r="E35" s="19" t="s">
        <v>27</v>
      </c>
      <c r="F35" s="19" t="s">
        <v>20</v>
      </c>
      <c r="G35" s="80">
        <v>1</v>
      </c>
      <c r="H35" s="21">
        <f t="shared" si="3"/>
        <v>9228.009</v>
      </c>
      <c r="I35" s="74">
        <f t="shared" si="0"/>
        <v>110736.10800000001</v>
      </c>
      <c r="J35" s="19">
        <v>12</v>
      </c>
      <c r="K35" s="74">
        <f t="shared" si="1"/>
        <v>15169.329863013701</v>
      </c>
      <c r="L35" s="21"/>
      <c r="M35" s="85">
        <f t="shared" si="2"/>
        <v>125905.4378630137</v>
      </c>
    </row>
    <row r="36" spans="1:13" ht="15.75" thickBot="1">
      <c r="A36" s="17" t="s">
        <v>120</v>
      </c>
      <c r="B36" s="18" t="s">
        <v>117</v>
      </c>
      <c r="C36" s="18"/>
      <c r="D36" s="19">
        <v>40</v>
      </c>
      <c r="E36" s="19" t="s">
        <v>27</v>
      </c>
      <c r="F36" s="19" t="s">
        <v>20</v>
      </c>
      <c r="G36" s="80">
        <v>1</v>
      </c>
      <c r="H36" s="21">
        <f>6408.81*1.05</f>
        <v>6729.250500000001</v>
      </c>
      <c r="I36" s="74">
        <f t="shared" si="0"/>
        <v>80751.00600000001</v>
      </c>
      <c r="J36" s="19">
        <v>12</v>
      </c>
      <c r="K36" s="74">
        <f t="shared" si="1"/>
        <v>11061.781643835617</v>
      </c>
      <c r="L36" s="21"/>
      <c r="M36" s="85">
        <f t="shared" si="2"/>
        <v>91812.78764383562</v>
      </c>
    </row>
    <row r="37" spans="1:13" ht="15.75" thickBot="1">
      <c r="A37" s="17" t="s">
        <v>120</v>
      </c>
      <c r="B37" s="18" t="s">
        <v>117</v>
      </c>
      <c r="C37" s="18"/>
      <c r="D37" s="19">
        <v>40</v>
      </c>
      <c r="E37" s="19" t="s">
        <v>27</v>
      </c>
      <c r="F37" s="19" t="s">
        <v>20</v>
      </c>
      <c r="G37" s="80">
        <v>1</v>
      </c>
      <c r="H37" s="21">
        <f>6408.81*1.05</f>
        <v>6729.250500000001</v>
      </c>
      <c r="I37" s="74">
        <f t="shared" si="0"/>
        <v>80751.00600000001</v>
      </c>
      <c r="J37" s="19">
        <v>12</v>
      </c>
      <c r="K37" s="74">
        <f t="shared" si="1"/>
        <v>11061.781643835617</v>
      </c>
      <c r="L37" s="21"/>
      <c r="M37" s="85">
        <f t="shared" si="2"/>
        <v>91812.78764383562</v>
      </c>
    </row>
    <row r="38" spans="1:13" ht="15.75" thickBot="1">
      <c r="A38" s="17" t="s">
        <v>120</v>
      </c>
      <c r="B38" s="18" t="s">
        <v>117</v>
      </c>
      <c r="C38" s="18"/>
      <c r="D38" s="19">
        <v>40</v>
      </c>
      <c r="E38" s="19" t="s">
        <v>27</v>
      </c>
      <c r="F38" s="19" t="s">
        <v>20</v>
      </c>
      <c r="G38" s="80">
        <v>1</v>
      </c>
      <c r="H38" s="21">
        <f>7604.03*1.05</f>
        <v>7984.2315</v>
      </c>
      <c r="I38" s="74">
        <f t="shared" si="0"/>
        <v>95810.77799999999</v>
      </c>
      <c r="J38" s="19">
        <v>12</v>
      </c>
      <c r="K38" s="74">
        <f t="shared" si="1"/>
        <v>13124.76410958904</v>
      </c>
      <c r="L38" s="21"/>
      <c r="M38" s="85">
        <f t="shared" si="2"/>
        <v>108935.54210958903</v>
      </c>
    </row>
    <row r="39" spans="1:13" ht="15.75" thickBot="1">
      <c r="A39" s="17" t="s">
        <v>120</v>
      </c>
      <c r="B39" s="18" t="s">
        <v>117</v>
      </c>
      <c r="C39" s="18"/>
      <c r="D39" s="19">
        <v>40</v>
      </c>
      <c r="E39" s="19" t="s">
        <v>27</v>
      </c>
      <c r="F39" s="19" t="s">
        <v>20</v>
      </c>
      <c r="G39" s="80">
        <v>1</v>
      </c>
      <c r="H39" s="21">
        <f>6404.88*1.05</f>
        <v>6725.124000000001</v>
      </c>
      <c r="I39" s="74">
        <f t="shared" si="0"/>
        <v>80701.48800000001</v>
      </c>
      <c r="J39" s="19">
        <v>12</v>
      </c>
      <c r="K39" s="74">
        <f t="shared" si="1"/>
        <v>11054.998356164386</v>
      </c>
      <c r="L39" s="21"/>
      <c r="M39" s="85">
        <f t="shared" si="2"/>
        <v>91756.4863561644</v>
      </c>
    </row>
    <row r="40" spans="1:13" ht="15.75" thickBot="1">
      <c r="A40" s="17" t="s">
        <v>121</v>
      </c>
      <c r="B40" s="18" t="s">
        <v>122</v>
      </c>
      <c r="C40" s="18"/>
      <c r="D40" s="19">
        <v>40</v>
      </c>
      <c r="E40" s="19" t="s">
        <v>27</v>
      </c>
      <c r="F40" s="19" t="s">
        <v>20</v>
      </c>
      <c r="G40" s="80">
        <v>1</v>
      </c>
      <c r="H40" s="21">
        <v>21466.56</v>
      </c>
      <c r="I40" s="74">
        <f t="shared" si="0"/>
        <v>257598.72000000003</v>
      </c>
      <c r="J40" s="19">
        <v>12</v>
      </c>
      <c r="K40" s="74">
        <f t="shared" si="1"/>
        <v>35287.495890410966</v>
      </c>
      <c r="L40" s="21"/>
      <c r="M40" s="85">
        <f t="shared" si="2"/>
        <v>292886.215890411</v>
      </c>
    </row>
    <row r="41" spans="1:13" ht="15.75" thickBot="1">
      <c r="A41" s="17" t="s">
        <v>38</v>
      </c>
      <c r="B41" s="18" t="s">
        <v>123</v>
      </c>
      <c r="C41" s="18"/>
      <c r="D41" s="19">
        <v>40</v>
      </c>
      <c r="E41" s="19" t="s">
        <v>19</v>
      </c>
      <c r="F41" s="19" t="s">
        <v>20</v>
      </c>
      <c r="G41" s="80">
        <v>1</v>
      </c>
      <c r="H41" s="21">
        <v>21840.52</v>
      </c>
      <c r="I41" s="74">
        <f t="shared" si="0"/>
        <v>262086.24</v>
      </c>
      <c r="J41" s="19">
        <v>12</v>
      </c>
      <c r="K41" s="74">
        <f t="shared" si="1"/>
        <v>35902.22465753425</v>
      </c>
      <c r="L41" s="21"/>
      <c r="M41" s="85">
        <f t="shared" si="2"/>
        <v>297988.46465753426</v>
      </c>
    </row>
    <row r="42" spans="1:13" ht="15.75" thickBot="1">
      <c r="A42" s="17" t="s">
        <v>52</v>
      </c>
      <c r="B42" s="18" t="s">
        <v>123</v>
      </c>
      <c r="C42" s="18"/>
      <c r="D42" s="19">
        <v>40</v>
      </c>
      <c r="E42" s="19" t="s">
        <v>27</v>
      </c>
      <c r="F42" s="19" t="s">
        <v>20</v>
      </c>
      <c r="G42" s="80">
        <v>1</v>
      </c>
      <c r="H42" s="21">
        <f>18332.43*1.05</f>
        <v>19249.0515</v>
      </c>
      <c r="I42" s="74">
        <f t="shared" si="0"/>
        <v>230988.61800000002</v>
      </c>
      <c r="J42" s="19">
        <v>12</v>
      </c>
      <c r="K42" s="74">
        <f t="shared" si="1"/>
        <v>31642.27643835617</v>
      </c>
      <c r="L42" s="21"/>
      <c r="M42" s="85">
        <f t="shared" si="2"/>
        <v>262630.89443835616</v>
      </c>
    </row>
    <row r="43" spans="1:13" ht="15.75" thickBot="1">
      <c r="A43" s="17" t="s">
        <v>217</v>
      </c>
      <c r="B43" s="18" t="s">
        <v>123</v>
      </c>
      <c r="C43" s="18"/>
      <c r="D43" s="19">
        <v>40</v>
      </c>
      <c r="E43" s="19" t="s">
        <v>27</v>
      </c>
      <c r="F43" s="19" t="s">
        <v>20</v>
      </c>
      <c r="G43" s="80">
        <v>1</v>
      </c>
      <c r="H43" s="21">
        <f>17266*1.05</f>
        <v>18129.3</v>
      </c>
      <c r="I43" s="74">
        <f t="shared" si="0"/>
        <v>217551.59999999998</v>
      </c>
      <c r="J43" s="19">
        <v>12</v>
      </c>
      <c r="K43" s="74">
        <f>+I43/365*50</f>
        <v>29801.58904109589</v>
      </c>
      <c r="L43" s="21"/>
      <c r="M43" s="85">
        <f>+I43+K43</f>
        <v>247353.18904109587</v>
      </c>
    </row>
    <row r="44" spans="1:13" ht="15.75" thickBot="1">
      <c r="A44" s="17" t="s">
        <v>72</v>
      </c>
      <c r="B44" s="18" t="s">
        <v>123</v>
      </c>
      <c r="C44" s="18"/>
      <c r="D44" s="19">
        <v>40</v>
      </c>
      <c r="E44" s="19" t="s">
        <v>27</v>
      </c>
      <c r="F44" s="19" t="s">
        <v>20</v>
      </c>
      <c r="G44" s="80">
        <v>1</v>
      </c>
      <c r="H44" s="21">
        <f>15790.99*1.05</f>
        <v>16580.5395</v>
      </c>
      <c r="I44" s="74">
        <f t="shared" si="0"/>
        <v>198966.474</v>
      </c>
      <c r="J44" s="19">
        <v>12</v>
      </c>
      <c r="K44" s="74">
        <f>+I44/365*50</f>
        <v>27255.68136986301</v>
      </c>
      <c r="L44" s="21"/>
      <c r="M44" s="85">
        <f>+I44+K44</f>
        <v>226222.155369863</v>
      </c>
    </row>
    <row r="45" spans="1:13" ht="15.75" thickBot="1">
      <c r="A45" s="17" t="s">
        <v>53</v>
      </c>
      <c r="B45" s="18" t="s">
        <v>123</v>
      </c>
      <c r="C45" s="18"/>
      <c r="D45" s="19">
        <v>40</v>
      </c>
      <c r="E45" s="19" t="s">
        <v>27</v>
      </c>
      <c r="F45" s="19" t="s">
        <v>20</v>
      </c>
      <c r="G45" s="80">
        <v>1</v>
      </c>
      <c r="H45" s="21">
        <f>15790.99*1.05</f>
        <v>16580.5395</v>
      </c>
      <c r="I45" s="74">
        <f t="shared" si="0"/>
        <v>198966.474</v>
      </c>
      <c r="J45" s="19">
        <v>12</v>
      </c>
      <c r="K45" s="74">
        <f t="shared" si="1"/>
        <v>27255.68136986301</v>
      </c>
      <c r="L45" s="21"/>
      <c r="M45" s="85">
        <f t="shared" si="2"/>
        <v>226222.155369863</v>
      </c>
    </row>
    <row r="46" spans="1:13" ht="15.75" thickBot="1">
      <c r="A46" s="89" t="s">
        <v>125</v>
      </c>
      <c r="B46" s="89" t="s">
        <v>126</v>
      </c>
      <c r="C46" s="89"/>
      <c r="D46" s="90">
        <v>8</v>
      </c>
      <c r="E46" s="90" t="s">
        <v>27</v>
      </c>
      <c r="F46" s="90" t="s">
        <v>20</v>
      </c>
      <c r="G46" s="80">
        <v>1</v>
      </c>
      <c r="H46" s="91">
        <f>10740.01*1.05</f>
        <v>11277.0105</v>
      </c>
      <c r="I46" s="74">
        <f t="shared" si="0"/>
        <v>78939.0735</v>
      </c>
      <c r="J46" s="90">
        <v>7</v>
      </c>
      <c r="K46" s="74">
        <f t="shared" si="1"/>
        <v>10813.571712328767</v>
      </c>
      <c r="L46" s="91"/>
      <c r="M46" s="85">
        <f t="shared" si="2"/>
        <v>89752.64521232876</v>
      </c>
    </row>
    <row r="47" spans="1:13" ht="15">
      <c r="A47" s="17" t="s">
        <v>196</v>
      </c>
      <c r="B47" s="18" t="s">
        <v>197</v>
      </c>
      <c r="C47" s="18"/>
      <c r="D47" s="19">
        <v>40</v>
      </c>
      <c r="E47" s="19" t="s">
        <v>19</v>
      </c>
      <c r="F47" s="19" t="s">
        <v>20</v>
      </c>
      <c r="G47" s="80">
        <v>1</v>
      </c>
      <c r="H47" s="20">
        <f>15790.99*1.05</f>
        <v>16580.5395</v>
      </c>
      <c r="I47" s="74">
        <f t="shared" si="0"/>
        <v>198966.474</v>
      </c>
      <c r="J47" s="19">
        <v>12</v>
      </c>
      <c r="K47" s="74">
        <f t="shared" si="1"/>
        <v>27255.68136986301</v>
      </c>
      <c r="L47" s="21"/>
      <c r="M47" s="86">
        <f t="shared" si="2"/>
        <v>226222.155369863</v>
      </c>
    </row>
    <row r="48" spans="1:13" ht="15.75" thickBot="1">
      <c r="A48" s="42"/>
      <c r="B48" s="43"/>
      <c r="C48" s="43"/>
      <c r="D48" s="44" t="s">
        <v>47</v>
      </c>
      <c r="E48" s="44"/>
      <c r="F48" s="44"/>
      <c r="G48" s="44">
        <f>SUM(G6:G47)</f>
        <v>41</v>
      </c>
      <c r="H48" s="45">
        <f>SUM(H6:H47)</f>
        <v>537303.3065000002</v>
      </c>
      <c r="I48" s="45">
        <f>SUM(I6:I47)</f>
        <v>6188962.7455</v>
      </c>
      <c r="J48" s="96"/>
      <c r="K48" s="45">
        <f>SUM(K6:K47)</f>
        <v>847803.1158219178</v>
      </c>
      <c r="L48" s="45"/>
      <c r="M48" s="45">
        <f>SUM(M6:M47)</f>
        <v>7036765.861321919</v>
      </c>
    </row>
    <row r="49" spans="1:13" ht="30.75" thickBot="1">
      <c r="A49" s="30" t="s">
        <v>124</v>
      </c>
      <c r="B49" s="7"/>
      <c r="C49" s="7"/>
      <c r="D49" s="9"/>
      <c r="E49" s="9"/>
      <c r="F49" s="9"/>
      <c r="G49" s="9"/>
      <c r="H49" s="46"/>
      <c r="I49" s="46"/>
      <c r="J49" s="9"/>
      <c r="K49" s="46"/>
      <c r="L49" s="46"/>
      <c r="M49" s="47"/>
    </row>
    <row r="50" spans="1:13" ht="15.75" thickBot="1">
      <c r="A50" s="18" t="s">
        <v>125</v>
      </c>
      <c r="B50" s="18" t="s">
        <v>126</v>
      </c>
      <c r="C50" s="18"/>
      <c r="D50" s="19">
        <v>8</v>
      </c>
      <c r="E50" s="19" t="s">
        <v>45</v>
      </c>
      <c r="F50" s="19" t="s">
        <v>20</v>
      </c>
      <c r="G50" s="80">
        <v>1</v>
      </c>
      <c r="H50" s="21">
        <f>8982.9*1.05</f>
        <v>9432.045</v>
      </c>
      <c r="I50" s="74">
        <f aca="true" t="shared" si="4" ref="I50:I94">+H50*J50</f>
        <v>113184.54000000001</v>
      </c>
      <c r="J50" s="19">
        <v>12</v>
      </c>
      <c r="K50" s="74">
        <f aca="true" t="shared" si="5" ref="K50:K94">+I50/365*50</f>
        <v>15504.731506849315</v>
      </c>
      <c r="L50" s="21"/>
      <c r="M50" s="85">
        <f aca="true" t="shared" si="6" ref="M50:M94">+I50+K50</f>
        <v>128689.27150684933</v>
      </c>
    </row>
    <row r="51" spans="1:13" ht="15.75" thickBot="1">
      <c r="A51" s="163" t="s">
        <v>267</v>
      </c>
      <c r="B51" s="163" t="s">
        <v>109</v>
      </c>
      <c r="C51" s="163"/>
      <c r="D51" s="164">
        <v>8</v>
      </c>
      <c r="E51" s="164" t="s">
        <v>45</v>
      </c>
      <c r="F51" s="164" t="s">
        <v>20</v>
      </c>
      <c r="G51" s="188">
        <v>1</v>
      </c>
      <c r="H51" s="166">
        <v>8625.5</v>
      </c>
      <c r="I51" s="189">
        <f t="shared" si="4"/>
        <v>103506</v>
      </c>
      <c r="J51" s="164">
        <v>12</v>
      </c>
      <c r="K51" s="189">
        <f t="shared" si="5"/>
        <v>14178.90410958904</v>
      </c>
      <c r="L51" s="166"/>
      <c r="M51" s="190">
        <f t="shared" si="6"/>
        <v>117684.90410958904</v>
      </c>
    </row>
    <row r="52" spans="1:13" ht="15.75" thickBot="1">
      <c r="A52" s="163" t="s">
        <v>198</v>
      </c>
      <c r="B52" s="163" t="s">
        <v>114</v>
      </c>
      <c r="C52" s="163"/>
      <c r="D52" s="164">
        <v>8</v>
      </c>
      <c r="E52" s="164" t="s">
        <v>45</v>
      </c>
      <c r="F52" s="164" t="s">
        <v>20</v>
      </c>
      <c r="G52" s="188">
        <v>1</v>
      </c>
      <c r="H52" s="166">
        <f>8729.72*1.05</f>
        <v>9166.206</v>
      </c>
      <c r="I52" s="189">
        <f t="shared" si="4"/>
        <v>109994.47200000001</v>
      </c>
      <c r="J52" s="164">
        <v>12</v>
      </c>
      <c r="K52" s="189">
        <f t="shared" si="5"/>
        <v>15067.73589041096</v>
      </c>
      <c r="L52" s="166"/>
      <c r="M52" s="190">
        <f t="shared" si="6"/>
        <v>125062.20789041097</v>
      </c>
    </row>
    <row r="53" spans="1:13" ht="15.75" thickBot="1">
      <c r="A53" s="163" t="s">
        <v>112</v>
      </c>
      <c r="B53" s="163" t="s">
        <v>109</v>
      </c>
      <c r="C53" s="163"/>
      <c r="D53" s="164">
        <v>8</v>
      </c>
      <c r="E53" s="164" t="s">
        <v>45</v>
      </c>
      <c r="F53" s="164" t="s">
        <v>20</v>
      </c>
      <c r="G53" s="188">
        <v>1</v>
      </c>
      <c r="H53" s="166">
        <v>9691.56</v>
      </c>
      <c r="I53" s="189">
        <f>+H53*J53</f>
        <v>116298.72</v>
      </c>
      <c r="J53" s="164">
        <v>12</v>
      </c>
      <c r="K53" s="189">
        <f t="shared" si="5"/>
        <v>15931.331506849316</v>
      </c>
      <c r="L53" s="166"/>
      <c r="M53" s="190">
        <f t="shared" si="6"/>
        <v>132230.05150684933</v>
      </c>
    </row>
    <row r="54" spans="1:13" ht="15.75" thickBot="1">
      <c r="A54" s="163" t="s">
        <v>112</v>
      </c>
      <c r="B54" s="163" t="s">
        <v>109</v>
      </c>
      <c r="C54" s="163"/>
      <c r="D54" s="164">
        <v>8</v>
      </c>
      <c r="E54" s="164" t="s">
        <v>45</v>
      </c>
      <c r="F54" s="164" t="s">
        <v>20</v>
      </c>
      <c r="G54" s="188">
        <v>1</v>
      </c>
      <c r="H54" s="166">
        <v>8411.16</v>
      </c>
      <c r="I54" s="189">
        <f t="shared" si="4"/>
        <v>100933.92</v>
      </c>
      <c r="J54" s="164">
        <v>12</v>
      </c>
      <c r="K54" s="189">
        <f t="shared" si="5"/>
        <v>13826.564383561643</v>
      </c>
      <c r="L54" s="166"/>
      <c r="M54" s="190">
        <f t="shared" si="6"/>
        <v>114760.48438356165</v>
      </c>
    </row>
    <row r="55" spans="1:13" ht="15.75" thickBot="1">
      <c r="A55" s="163" t="s">
        <v>249</v>
      </c>
      <c r="B55" s="163" t="s">
        <v>109</v>
      </c>
      <c r="C55" s="163"/>
      <c r="D55" s="164">
        <v>8</v>
      </c>
      <c r="E55" s="164" t="s">
        <v>45</v>
      </c>
      <c r="F55" s="164" t="s">
        <v>20</v>
      </c>
      <c r="G55" s="188">
        <v>1</v>
      </c>
      <c r="H55" s="166">
        <v>6605.7</v>
      </c>
      <c r="I55" s="189">
        <f>+H55*J55</f>
        <v>79268.4</v>
      </c>
      <c r="J55" s="164">
        <v>12</v>
      </c>
      <c r="K55" s="189">
        <f t="shared" si="5"/>
        <v>10858.684931506848</v>
      </c>
      <c r="L55" s="166"/>
      <c r="M55" s="190">
        <f t="shared" si="6"/>
        <v>90127.08493150685</v>
      </c>
    </row>
    <row r="56" spans="1:13" ht="15.75" thickBot="1">
      <c r="A56" s="163" t="s">
        <v>53</v>
      </c>
      <c r="B56" s="163" t="s">
        <v>109</v>
      </c>
      <c r="C56" s="163"/>
      <c r="D56" s="164">
        <v>8</v>
      </c>
      <c r="E56" s="164" t="s">
        <v>45</v>
      </c>
      <c r="F56" s="164" t="s">
        <v>20</v>
      </c>
      <c r="G56" s="188">
        <v>1</v>
      </c>
      <c r="H56" s="166">
        <f>14616.58*1.05</f>
        <v>15347.409000000001</v>
      </c>
      <c r="I56" s="189">
        <f t="shared" si="4"/>
        <v>184168.90800000002</v>
      </c>
      <c r="J56" s="164">
        <v>12</v>
      </c>
      <c r="K56" s="189">
        <f t="shared" si="5"/>
        <v>25228.61753424658</v>
      </c>
      <c r="L56" s="166"/>
      <c r="M56" s="190">
        <f t="shared" si="6"/>
        <v>209397.5255342466</v>
      </c>
    </row>
    <row r="57" spans="1:13" ht="15.75" thickBot="1">
      <c r="A57" s="163" t="s">
        <v>53</v>
      </c>
      <c r="B57" s="163" t="s">
        <v>109</v>
      </c>
      <c r="C57" s="163"/>
      <c r="D57" s="164">
        <v>8</v>
      </c>
      <c r="E57" s="164" t="s">
        <v>45</v>
      </c>
      <c r="F57" s="164" t="s">
        <v>20</v>
      </c>
      <c r="G57" s="188">
        <v>1</v>
      </c>
      <c r="H57" s="166">
        <f>8788.58*1.05</f>
        <v>9228.009</v>
      </c>
      <c r="I57" s="189">
        <f t="shared" si="4"/>
        <v>110736.10800000001</v>
      </c>
      <c r="J57" s="164">
        <v>12</v>
      </c>
      <c r="K57" s="189">
        <f t="shared" si="5"/>
        <v>15169.329863013701</v>
      </c>
      <c r="L57" s="166"/>
      <c r="M57" s="190">
        <f t="shared" si="6"/>
        <v>125905.4378630137</v>
      </c>
    </row>
    <row r="58" spans="1:13" ht="15.75" thickBot="1">
      <c r="A58" s="163" t="s">
        <v>53</v>
      </c>
      <c r="B58" s="163" t="s">
        <v>283</v>
      </c>
      <c r="C58" s="163"/>
      <c r="D58" s="164">
        <v>8</v>
      </c>
      <c r="E58" s="164" t="s">
        <v>45</v>
      </c>
      <c r="F58" s="164" t="s">
        <v>20</v>
      </c>
      <c r="G58" s="188">
        <v>1</v>
      </c>
      <c r="H58" s="166">
        <f>9572.17*1.05</f>
        <v>10050.7785</v>
      </c>
      <c r="I58" s="189">
        <f t="shared" si="4"/>
        <v>120609.342</v>
      </c>
      <c r="J58" s="164">
        <v>12</v>
      </c>
      <c r="K58" s="189">
        <f t="shared" si="5"/>
        <v>16521.827671232877</v>
      </c>
      <c r="L58" s="166"/>
      <c r="M58" s="190">
        <f t="shared" si="6"/>
        <v>137131.16967123287</v>
      </c>
    </row>
    <row r="59" spans="1:13" ht="15.75" thickBot="1">
      <c r="A59" s="163" t="s">
        <v>53</v>
      </c>
      <c r="B59" s="163" t="s">
        <v>109</v>
      </c>
      <c r="C59" s="163"/>
      <c r="D59" s="164">
        <v>8</v>
      </c>
      <c r="E59" s="164" t="s">
        <v>45</v>
      </c>
      <c r="F59" s="164" t="s">
        <v>20</v>
      </c>
      <c r="G59" s="188">
        <v>1</v>
      </c>
      <c r="H59" s="166">
        <f>7587.43*1.05</f>
        <v>7966.8015000000005</v>
      </c>
      <c r="I59" s="189">
        <f>+H59*J59</f>
        <v>55767.6105</v>
      </c>
      <c r="J59" s="164">
        <v>7</v>
      </c>
      <c r="K59" s="189">
        <f t="shared" si="5"/>
        <v>7639.398698630137</v>
      </c>
      <c r="L59" s="166"/>
      <c r="M59" s="190">
        <f t="shared" si="6"/>
        <v>63407.00919863014</v>
      </c>
    </row>
    <row r="60" spans="1:13" ht="15.75" thickBot="1">
      <c r="A60" s="163" t="s">
        <v>53</v>
      </c>
      <c r="B60" s="163" t="s">
        <v>109</v>
      </c>
      <c r="C60" s="163"/>
      <c r="D60" s="164">
        <v>8</v>
      </c>
      <c r="E60" s="164" t="s">
        <v>45</v>
      </c>
      <c r="F60" s="164" t="s">
        <v>20</v>
      </c>
      <c r="G60" s="188">
        <v>1</v>
      </c>
      <c r="H60" s="166">
        <f>7587.43*1.05</f>
        <v>7966.8015000000005</v>
      </c>
      <c r="I60" s="189">
        <f t="shared" si="4"/>
        <v>39834.0075</v>
      </c>
      <c r="J60" s="164">
        <v>5</v>
      </c>
      <c r="K60" s="189">
        <f t="shared" si="5"/>
        <v>5456.713356164383</v>
      </c>
      <c r="L60" s="166"/>
      <c r="M60" s="190">
        <f t="shared" si="6"/>
        <v>45290.720856164386</v>
      </c>
    </row>
    <row r="61" spans="1:13" ht="15.75" thickBot="1">
      <c r="A61" s="163" t="s">
        <v>53</v>
      </c>
      <c r="B61" s="163" t="s">
        <v>109</v>
      </c>
      <c r="C61" s="163"/>
      <c r="D61" s="164">
        <v>8</v>
      </c>
      <c r="E61" s="164" t="s">
        <v>45</v>
      </c>
      <c r="F61" s="164" t="s">
        <v>20</v>
      </c>
      <c r="G61" s="188">
        <v>1</v>
      </c>
      <c r="H61" s="166">
        <f>7323.81*1.05</f>
        <v>7690.000500000001</v>
      </c>
      <c r="I61" s="189">
        <f t="shared" si="4"/>
        <v>92280.00600000001</v>
      </c>
      <c r="J61" s="164">
        <v>12</v>
      </c>
      <c r="K61" s="189">
        <f t="shared" si="5"/>
        <v>12641.096712328768</v>
      </c>
      <c r="L61" s="166"/>
      <c r="M61" s="190">
        <f t="shared" si="6"/>
        <v>104921.10271232878</v>
      </c>
    </row>
    <row r="62" spans="1:13" ht="15.75" thickBot="1">
      <c r="A62" s="163" t="s">
        <v>53</v>
      </c>
      <c r="B62" s="163" t="s">
        <v>109</v>
      </c>
      <c r="C62" s="163"/>
      <c r="D62" s="164">
        <v>8</v>
      </c>
      <c r="E62" s="164" t="s">
        <v>45</v>
      </c>
      <c r="F62" s="164" t="s">
        <v>20</v>
      </c>
      <c r="G62" s="188">
        <v>1</v>
      </c>
      <c r="H62" s="166">
        <f>7323.81*1.05</f>
        <v>7690.000500000001</v>
      </c>
      <c r="I62" s="189">
        <f t="shared" si="4"/>
        <v>92280.00600000001</v>
      </c>
      <c r="J62" s="164">
        <v>12</v>
      </c>
      <c r="K62" s="189">
        <f t="shared" si="5"/>
        <v>12641.096712328768</v>
      </c>
      <c r="L62" s="166"/>
      <c r="M62" s="190">
        <f t="shared" si="6"/>
        <v>104921.10271232878</v>
      </c>
    </row>
    <row r="63" spans="1:13" ht="15.75" thickBot="1">
      <c r="A63" s="163" t="s">
        <v>53</v>
      </c>
      <c r="B63" s="163" t="s">
        <v>109</v>
      </c>
      <c r="C63" s="163"/>
      <c r="D63" s="164">
        <v>8</v>
      </c>
      <c r="E63" s="164" t="s">
        <v>45</v>
      </c>
      <c r="F63" s="164" t="s">
        <v>20</v>
      </c>
      <c r="G63" s="188">
        <v>1</v>
      </c>
      <c r="H63" s="166">
        <f>7128.01*1.05</f>
        <v>7484.410500000001</v>
      </c>
      <c r="I63" s="189">
        <f t="shared" si="4"/>
        <v>89812.926</v>
      </c>
      <c r="J63" s="164">
        <v>12</v>
      </c>
      <c r="K63" s="189">
        <f t="shared" si="5"/>
        <v>12303.140547945206</v>
      </c>
      <c r="L63" s="166"/>
      <c r="M63" s="190">
        <f t="shared" si="6"/>
        <v>102116.06654794521</v>
      </c>
    </row>
    <row r="64" spans="1:13" ht="15.75" thickBot="1">
      <c r="A64" s="163" t="s">
        <v>53</v>
      </c>
      <c r="B64" s="163" t="s">
        <v>109</v>
      </c>
      <c r="C64" s="163"/>
      <c r="D64" s="164">
        <v>8</v>
      </c>
      <c r="E64" s="164" t="s">
        <v>45</v>
      </c>
      <c r="F64" s="164" t="s">
        <v>20</v>
      </c>
      <c r="G64" s="188">
        <v>1</v>
      </c>
      <c r="H64" s="166">
        <f>7128.01*1.05</f>
        <v>7484.410500000001</v>
      </c>
      <c r="I64" s="189">
        <f t="shared" si="4"/>
        <v>89812.926</v>
      </c>
      <c r="J64" s="164">
        <v>12</v>
      </c>
      <c r="K64" s="189">
        <f t="shared" si="5"/>
        <v>12303.140547945206</v>
      </c>
      <c r="L64" s="166"/>
      <c r="M64" s="190">
        <f t="shared" si="6"/>
        <v>102116.06654794521</v>
      </c>
    </row>
    <row r="65" spans="1:13" ht="15.75" thickBot="1">
      <c r="A65" s="163" t="s">
        <v>53</v>
      </c>
      <c r="B65" s="163" t="s">
        <v>109</v>
      </c>
      <c r="C65" s="163"/>
      <c r="D65" s="164">
        <v>8</v>
      </c>
      <c r="E65" s="164" t="s">
        <v>45</v>
      </c>
      <c r="F65" s="164" t="s">
        <v>20</v>
      </c>
      <c r="G65" s="188">
        <v>1</v>
      </c>
      <c r="H65" s="166">
        <v>10050.81</v>
      </c>
      <c r="I65" s="189">
        <f>+H65*J65</f>
        <v>120609.72</v>
      </c>
      <c r="J65" s="164">
        <v>12</v>
      </c>
      <c r="K65" s="189">
        <f t="shared" si="5"/>
        <v>16521.879452054796</v>
      </c>
      <c r="L65" s="166"/>
      <c r="M65" s="190">
        <f t="shared" si="6"/>
        <v>137131.5994520548</v>
      </c>
    </row>
    <row r="66" spans="1:13" ht="15.75" thickBot="1">
      <c r="A66" s="163" t="s">
        <v>29</v>
      </c>
      <c r="B66" s="163" t="s">
        <v>109</v>
      </c>
      <c r="C66" s="163"/>
      <c r="D66" s="164">
        <v>8</v>
      </c>
      <c r="E66" s="164" t="s">
        <v>45</v>
      </c>
      <c r="F66" s="164" t="s">
        <v>20</v>
      </c>
      <c r="G66" s="188">
        <v>1</v>
      </c>
      <c r="H66" s="166">
        <f>7041.05*1.05</f>
        <v>7393.102500000001</v>
      </c>
      <c r="I66" s="189">
        <f t="shared" si="4"/>
        <v>88717.23000000001</v>
      </c>
      <c r="J66" s="164">
        <v>12</v>
      </c>
      <c r="K66" s="189">
        <f t="shared" si="5"/>
        <v>12153.045205479453</v>
      </c>
      <c r="L66" s="166"/>
      <c r="M66" s="190">
        <f t="shared" si="6"/>
        <v>100870.27520547947</v>
      </c>
    </row>
    <row r="67" spans="1:13" ht="15.75" thickBot="1">
      <c r="A67" s="163" t="s">
        <v>127</v>
      </c>
      <c r="B67" s="163" t="s">
        <v>109</v>
      </c>
      <c r="C67" s="163"/>
      <c r="D67" s="164">
        <v>8</v>
      </c>
      <c r="E67" s="164" t="s">
        <v>45</v>
      </c>
      <c r="F67" s="164" t="s">
        <v>20</v>
      </c>
      <c r="G67" s="188">
        <v>1</v>
      </c>
      <c r="H67" s="166">
        <f>8788.58*1.05</f>
        <v>9228.009</v>
      </c>
      <c r="I67" s="189">
        <f t="shared" si="4"/>
        <v>110736.10800000001</v>
      </c>
      <c r="J67" s="164">
        <v>12</v>
      </c>
      <c r="K67" s="189">
        <f t="shared" si="5"/>
        <v>15169.329863013701</v>
      </c>
      <c r="L67" s="166"/>
      <c r="M67" s="190">
        <f t="shared" si="6"/>
        <v>125905.4378630137</v>
      </c>
    </row>
    <row r="68" spans="1:13" ht="15.75" thickBot="1">
      <c r="A68" s="18" t="s">
        <v>250</v>
      </c>
      <c r="B68" s="18" t="s">
        <v>109</v>
      </c>
      <c r="C68" s="18"/>
      <c r="D68" s="19">
        <v>8</v>
      </c>
      <c r="E68" s="19" t="s">
        <v>45</v>
      </c>
      <c r="F68" s="19" t="s">
        <v>20</v>
      </c>
      <c r="G68" s="80">
        <v>1</v>
      </c>
      <c r="H68" s="21">
        <v>9228</v>
      </c>
      <c r="I68" s="74">
        <f>+H68*J68</f>
        <v>110736</v>
      </c>
      <c r="J68" s="19">
        <v>12</v>
      </c>
      <c r="K68" s="74">
        <f t="shared" si="5"/>
        <v>15169.315068493152</v>
      </c>
      <c r="L68" s="21"/>
      <c r="M68" s="85">
        <f t="shared" si="6"/>
        <v>125905.31506849315</v>
      </c>
    </row>
    <row r="69" spans="1:13" ht="15.75" thickBot="1">
      <c r="A69" s="18" t="s">
        <v>250</v>
      </c>
      <c r="B69" s="18" t="s">
        <v>109</v>
      </c>
      <c r="C69" s="18"/>
      <c r="D69" s="19">
        <v>8</v>
      </c>
      <c r="E69" s="19" t="s">
        <v>45</v>
      </c>
      <c r="F69" s="19" t="s">
        <v>20</v>
      </c>
      <c r="G69" s="80">
        <v>1</v>
      </c>
      <c r="H69" s="21">
        <v>9228</v>
      </c>
      <c r="I69" s="74">
        <f>+H69*J69</f>
        <v>110736</v>
      </c>
      <c r="J69" s="19">
        <v>12</v>
      </c>
      <c r="K69" s="74">
        <f t="shared" si="5"/>
        <v>15169.315068493152</v>
      </c>
      <c r="L69" s="21"/>
      <c r="M69" s="85">
        <f t="shared" si="6"/>
        <v>125905.31506849315</v>
      </c>
    </row>
    <row r="70" spans="1:13" ht="15.75" thickBot="1">
      <c r="A70" s="18" t="s">
        <v>250</v>
      </c>
      <c r="B70" s="18" t="s">
        <v>109</v>
      </c>
      <c r="C70" s="18"/>
      <c r="D70" s="19">
        <v>8</v>
      </c>
      <c r="E70" s="19" t="s">
        <v>45</v>
      </c>
      <c r="F70" s="19" t="s">
        <v>20</v>
      </c>
      <c r="G70" s="80">
        <v>1</v>
      </c>
      <c r="H70" s="21">
        <v>9228</v>
      </c>
      <c r="I70" s="74">
        <f>+H70*J70</f>
        <v>110736</v>
      </c>
      <c r="J70" s="19">
        <v>12</v>
      </c>
      <c r="K70" s="74">
        <f t="shared" si="5"/>
        <v>15169.315068493152</v>
      </c>
      <c r="L70" s="21"/>
      <c r="M70" s="85">
        <f t="shared" si="6"/>
        <v>125905.31506849315</v>
      </c>
    </row>
    <row r="71" spans="1:13" ht="15.75" thickBot="1">
      <c r="A71" s="18" t="s">
        <v>128</v>
      </c>
      <c r="B71" s="18" t="s">
        <v>109</v>
      </c>
      <c r="C71" s="18"/>
      <c r="D71" s="19">
        <v>8</v>
      </c>
      <c r="E71" s="19" t="s">
        <v>45</v>
      </c>
      <c r="F71" s="19" t="s">
        <v>20</v>
      </c>
      <c r="G71" s="80">
        <v>1</v>
      </c>
      <c r="H71" s="21">
        <f>9572.17*1.05</f>
        <v>10050.7785</v>
      </c>
      <c r="I71" s="74">
        <f t="shared" si="4"/>
        <v>120609.342</v>
      </c>
      <c r="J71" s="19">
        <v>12</v>
      </c>
      <c r="K71" s="74">
        <f t="shared" si="5"/>
        <v>16521.827671232877</v>
      </c>
      <c r="L71" s="21"/>
      <c r="M71" s="85">
        <f t="shared" si="6"/>
        <v>137131.16967123287</v>
      </c>
    </row>
    <row r="72" spans="1:13" ht="15.75" thickBot="1">
      <c r="A72" s="18" t="s">
        <v>128</v>
      </c>
      <c r="B72" s="18" t="s">
        <v>109</v>
      </c>
      <c r="C72" s="18"/>
      <c r="D72" s="19">
        <v>8</v>
      </c>
      <c r="E72" s="19" t="s">
        <v>45</v>
      </c>
      <c r="F72" s="19" t="s">
        <v>20</v>
      </c>
      <c r="G72" s="80">
        <v>1</v>
      </c>
      <c r="H72" s="21">
        <f>9572.13*1.05</f>
        <v>10050.736499999999</v>
      </c>
      <c r="I72" s="74">
        <f t="shared" si="4"/>
        <v>120608.83799999999</v>
      </c>
      <c r="J72" s="19">
        <v>12</v>
      </c>
      <c r="K72" s="74">
        <f t="shared" si="5"/>
        <v>16521.758630136985</v>
      </c>
      <c r="L72" s="21"/>
      <c r="M72" s="85">
        <f t="shared" si="6"/>
        <v>137130.59663013698</v>
      </c>
    </row>
    <row r="73" spans="1:13" ht="15.75" thickBot="1">
      <c r="A73" s="18" t="s">
        <v>128</v>
      </c>
      <c r="B73" s="18" t="s">
        <v>109</v>
      </c>
      <c r="C73" s="18"/>
      <c r="D73" s="19">
        <v>8</v>
      </c>
      <c r="E73" s="19" t="s">
        <v>45</v>
      </c>
      <c r="F73" s="19" t="s">
        <v>20</v>
      </c>
      <c r="G73" s="80">
        <v>1</v>
      </c>
      <c r="H73" s="21">
        <f>9572.17*1.05</f>
        <v>10050.7785</v>
      </c>
      <c r="I73" s="74">
        <f t="shared" si="4"/>
        <v>70355.4495</v>
      </c>
      <c r="J73" s="19">
        <v>7</v>
      </c>
      <c r="K73" s="74">
        <f t="shared" si="5"/>
        <v>9637.732808219178</v>
      </c>
      <c r="L73" s="21"/>
      <c r="M73" s="85">
        <f t="shared" si="6"/>
        <v>79993.18230821918</v>
      </c>
    </row>
    <row r="74" spans="1:13" ht="15.75" thickBot="1">
      <c r="A74" s="18" t="s">
        <v>128</v>
      </c>
      <c r="B74" s="18" t="s">
        <v>109</v>
      </c>
      <c r="C74" s="18"/>
      <c r="D74" s="19">
        <v>8</v>
      </c>
      <c r="E74" s="19" t="s">
        <v>45</v>
      </c>
      <c r="F74" s="19" t="s">
        <v>20</v>
      </c>
      <c r="G74" s="80">
        <v>1</v>
      </c>
      <c r="H74" s="21">
        <f>9572.17*1.05</f>
        <v>10050.7785</v>
      </c>
      <c r="I74" s="74">
        <f t="shared" si="4"/>
        <v>120609.342</v>
      </c>
      <c r="J74" s="19">
        <v>12</v>
      </c>
      <c r="K74" s="74">
        <f t="shared" si="5"/>
        <v>16521.827671232877</v>
      </c>
      <c r="L74" s="21"/>
      <c r="M74" s="85">
        <f t="shared" si="6"/>
        <v>137131.16967123287</v>
      </c>
    </row>
    <row r="75" spans="1:13" ht="15.75" thickBot="1">
      <c r="A75" s="18" t="s">
        <v>128</v>
      </c>
      <c r="B75" s="18" t="s">
        <v>109</v>
      </c>
      <c r="C75" s="18"/>
      <c r="D75" s="19">
        <v>8</v>
      </c>
      <c r="E75" s="19" t="s">
        <v>45</v>
      </c>
      <c r="F75" s="19" t="s">
        <v>20</v>
      </c>
      <c r="G75" s="80">
        <v>1</v>
      </c>
      <c r="H75" s="21">
        <f>9572.17*1.05</f>
        <v>10050.7785</v>
      </c>
      <c r="I75" s="74">
        <f>+H75*J75</f>
        <v>120609.342</v>
      </c>
      <c r="J75" s="19">
        <v>12</v>
      </c>
      <c r="K75" s="74">
        <f t="shared" si="5"/>
        <v>16521.827671232877</v>
      </c>
      <c r="L75" s="21"/>
      <c r="M75" s="85">
        <f t="shared" si="6"/>
        <v>137131.16967123287</v>
      </c>
    </row>
    <row r="76" spans="1:13" ht="15.75" thickBot="1">
      <c r="A76" s="18" t="s">
        <v>128</v>
      </c>
      <c r="B76" s="18" t="s">
        <v>109</v>
      </c>
      <c r="C76" s="18"/>
      <c r="D76" s="19">
        <v>8</v>
      </c>
      <c r="E76" s="19" t="s">
        <v>45</v>
      </c>
      <c r="F76" s="19" t="s">
        <v>20</v>
      </c>
      <c r="G76" s="80">
        <v>1</v>
      </c>
      <c r="H76" s="21">
        <f>9438.77*1.05</f>
        <v>9910.7085</v>
      </c>
      <c r="I76" s="74">
        <f>+H76*J76</f>
        <v>89196.37650000001</v>
      </c>
      <c r="J76" s="19">
        <v>9</v>
      </c>
      <c r="K76" s="74">
        <f t="shared" si="5"/>
        <v>12218.68171232877</v>
      </c>
      <c r="L76" s="21"/>
      <c r="M76" s="85">
        <f>+I76+K76</f>
        <v>101415.05821232879</v>
      </c>
    </row>
    <row r="77" spans="1:13" ht="15.75" thickBot="1">
      <c r="A77" s="18" t="s">
        <v>128</v>
      </c>
      <c r="B77" s="18" t="s">
        <v>109</v>
      </c>
      <c r="C77" s="18"/>
      <c r="D77" s="19">
        <v>8</v>
      </c>
      <c r="E77" s="19" t="s">
        <v>45</v>
      </c>
      <c r="F77" s="19" t="s">
        <v>20</v>
      </c>
      <c r="G77" s="80">
        <v>1</v>
      </c>
      <c r="H77" s="21">
        <v>12000</v>
      </c>
      <c r="I77" s="74">
        <f>+H77*J77</f>
        <v>36000</v>
      </c>
      <c r="J77" s="19">
        <v>3</v>
      </c>
      <c r="K77" s="74">
        <f t="shared" si="5"/>
        <v>4931.506849315068</v>
      </c>
      <c r="L77" s="21"/>
      <c r="M77" s="85">
        <f t="shared" si="6"/>
        <v>40931.50684931507</v>
      </c>
    </row>
    <row r="78" spans="1:13" ht="15.75" thickBot="1">
      <c r="A78" s="18" t="s">
        <v>74</v>
      </c>
      <c r="B78" s="18" t="s">
        <v>109</v>
      </c>
      <c r="C78" s="18"/>
      <c r="D78" s="19">
        <v>8</v>
      </c>
      <c r="E78" s="19" t="s">
        <v>45</v>
      </c>
      <c r="F78" s="19" t="s">
        <v>20</v>
      </c>
      <c r="G78" s="80">
        <v>1</v>
      </c>
      <c r="H78" s="21">
        <f>6408.21*1.05</f>
        <v>6728.6205</v>
      </c>
      <c r="I78" s="74">
        <f t="shared" si="4"/>
        <v>80743.446</v>
      </c>
      <c r="J78" s="19">
        <v>12</v>
      </c>
      <c r="K78" s="74">
        <f t="shared" si="5"/>
        <v>11060.74602739726</v>
      </c>
      <c r="L78" s="21"/>
      <c r="M78" s="85">
        <f t="shared" si="6"/>
        <v>91804.19202739725</v>
      </c>
    </row>
    <row r="79" spans="1:13" ht="15.75" thickBot="1">
      <c r="A79" s="18" t="s">
        <v>120</v>
      </c>
      <c r="B79" s="18" t="s">
        <v>109</v>
      </c>
      <c r="C79" s="18"/>
      <c r="D79" s="19">
        <v>8</v>
      </c>
      <c r="E79" s="19" t="s">
        <v>45</v>
      </c>
      <c r="F79" s="19" t="s">
        <v>20</v>
      </c>
      <c r="G79" s="80">
        <v>1</v>
      </c>
      <c r="H79" s="21">
        <f>6408.81*1.05</f>
        <v>6729.250500000001</v>
      </c>
      <c r="I79" s="74">
        <f t="shared" si="4"/>
        <v>80751.00600000001</v>
      </c>
      <c r="J79" s="19">
        <v>12</v>
      </c>
      <c r="K79" s="74">
        <f t="shared" si="5"/>
        <v>11061.781643835617</v>
      </c>
      <c r="L79" s="21"/>
      <c r="M79" s="85">
        <f t="shared" si="6"/>
        <v>91812.78764383562</v>
      </c>
    </row>
    <row r="80" spans="1:13" ht="15.75" thickBot="1">
      <c r="A80" s="18" t="s">
        <v>120</v>
      </c>
      <c r="B80" s="18" t="s">
        <v>109</v>
      </c>
      <c r="C80" s="18"/>
      <c r="D80" s="19">
        <v>8</v>
      </c>
      <c r="E80" s="19" t="s">
        <v>45</v>
      </c>
      <c r="F80" s="19" t="s">
        <v>20</v>
      </c>
      <c r="G80" s="80">
        <v>1</v>
      </c>
      <c r="H80" s="21">
        <f>6408.81*1.05</f>
        <v>6729.250500000001</v>
      </c>
      <c r="I80" s="74">
        <f t="shared" si="4"/>
        <v>80751.00600000001</v>
      </c>
      <c r="J80" s="19">
        <v>12</v>
      </c>
      <c r="K80" s="74">
        <f t="shared" si="5"/>
        <v>11061.781643835617</v>
      </c>
      <c r="L80" s="21"/>
      <c r="M80" s="85">
        <f t="shared" si="6"/>
        <v>91812.78764383562</v>
      </c>
    </row>
    <row r="81" spans="1:13" ht="15.75" thickBot="1">
      <c r="A81" s="18" t="s">
        <v>120</v>
      </c>
      <c r="B81" s="18" t="s">
        <v>109</v>
      </c>
      <c r="C81" s="18"/>
      <c r="D81" s="19">
        <v>8</v>
      </c>
      <c r="E81" s="19" t="s">
        <v>45</v>
      </c>
      <c r="F81" s="19" t="s">
        <v>20</v>
      </c>
      <c r="G81" s="80">
        <v>1</v>
      </c>
      <c r="H81" s="21">
        <f>8789*1.05</f>
        <v>9228.45</v>
      </c>
      <c r="I81" s="74">
        <f>+H81*J81</f>
        <v>110741.40000000001</v>
      </c>
      <c r="J81" s="19">
        <v>12</v>
      </c>
      <c r="K81" s="74">
        <f t="shared" si="5"/>
        <v>15170.05479452055</v>
      </c>
      <c r="L81" s="21"/>
      <c r="M81" s="85">
        <f t="shared" si="6"/>
        <v>125911.45479452056</v>
      </c>
    </row>
    <row r="82" spans="1:13" ht="15.75" thickBot="1">
      <c r="A82" s="18" t="s">
        <v>120</v>
      </c>
      <c r="B82" s="18" t="s">
        <v>109</v>
      </c>
      <c r="C82" s="18"/>
      <c r="D82" s="19">
        <v>8</v>
      </c>
      <c r="E82" s="19" t="s">
        <v>45</v>
      </c>
      <c r="F82" s="19" t="s">
        <v>20</v>
      </c>
      <c r="G82" s="80">
        <v>1</v>
      </c>
      <c r="H82" s="21">
        <f>6103.65*1.05</f>
        <v>6408.8324999999995</v>
      </c>
      <c r="I82" s="74">
        <f t="shared" si="4"/>
        <v>76905.98999999999</v>
      </c>
      <c r="J82" s="19">
        <v>12</v>
      </c>
      <c r="K82" s="74">
        <f t="shared" si="5"/>
        <v>10535.06712328767</v>
      </c>
      <c r="L82" s="21"/>
      <c r="M82" s="85">
        <f t="shared" si="6"/>
        <v>87441.05712328767</v>
      </c>
    </row>
    <row r="83" spans="1:13" ht="15.75" thickBot="1">
      <c r="A83" s="18" t="s">
        <v>120</v>
      </c>
      <c r="B83" s="18" t="s">
        <v>109</v>
      </c>
      <c r="C83" s="18"/>
      <c r="D83" s="19">
        <v>8</v>
      </c>
      <c r="E83" s="19" t="s">
        <v>45</v>
      </c>
      <c r="F83" s="19" t="s">
        <v>20</v>
      </c>
      <c r="G83" s="80">
        <v>1</v>
      </c>
      <c r="H83" s="21">
        <f>7976.83*1.05</f>
        <v>8375.6715</v>
      </c>
      <c r="I83" s="74">
        <f>+H83*J83</f>
        <v>100508.058</v>
      </c>
      <c r="J83" s="19">
        <v>12</v>
      </c>
      <c r="K83" s="74">
        <f>+I83/365*50</f>
        <v>13768.227123287674</v>
      </c>
      <c r="L83" s="21"/>
      <c r="M83" s="85">
        <f>+I83+K83</f>
        <v>114276.28512328767</v>
      </c>
    </row>
    <row r="84" spans="1:13" ht="15.75" thickBot="1">
      <c r="A84" s="18" t="s">
        <v>120</v>
      </c>
      <c r="B84" s="18" t="s">
        <v>109</v>
      </c>
      <c r="C84" s="18"/>
      <c r="D84" s="19">
        <v>8</v>
      </c>
      <c r="E84" s="19" t="s">
        <v>45</v>
      </c>
      <c r="F84" s="19" t="s">
        <v>20</v>
      </c>
      <c r="G84" s="80">
        <v>1</v>
      </c>
      <c r="H84" s="21">
        <f>6972.24*1.05</f>
        <v>7320.852</v>
      </c>
      <c r="I84" s="74">
        <f t="shared" si="4"/>
        <v>87850.224</v>
      </c>
      <c r="J84" s="19">
        <v>12</v>
      </c>
      <c r="K84" s="74">
        <f t="shared" si="5"/>
        <v>12034.277260273973</v>
      </c>
      <c r="L84" s="21"/>
      <c r="M84" s="85">
        <f t="shared" si="6"/>
        <v>99884.50126027397</v>
      </c>
    </row>
    <row r="85" spans="1:13" ht="15.75" thickBot="1">
      <c r="A85" s="18" t="s">
        <v>120</v>
      </c>
      <c r="B85" s="18" t="s">
        <v>109</v>
      </c>
      <c r="C85" s="18"/>
      <c r="D85" s="19">
        <v>8</v>
      </c>
      <c r="E85" s="19" t="s">
        <v>45</v>
      </c>
      <c r="F85" s="19" t="s">
        <v>20</v>
      </c>
      <c r="G85" s="80">
        <v>1</v>
      </c>
      <c r="H85" s="21">
        <v>11535.28</v>
      </c>
      <c r="I85" s="74">
        <f t="shared" si="4"/>
        <v>138423.36000000002</v>
      </c>
      <c r="J85" s="19">
        <v>12</v>
      </c>
      <c r="K85" s="74">
        <f t="shared" si="5"/>
        <v>18962.104109589043</v>
      </c>
      <c r="L85" s="21"/>
      <c r="M85" s="85">
        <f t="shared" si="6"/>
        <v>157385.46410958905</v>
      </c>
    </row>
    <row r="86" spans="1:13" ht="15.75" thickBot="1">
      <c r="A86" s="18" t="s">
        <v>120</v>
      </c>
      <c r="B86" s="18" t="s">
        <v>109</v>
      </c>
      <c r="C86" s="18"/>
      <c r="D86" s="19">
        <v>8</v>
      </c>
      <c r="E86" s="19" t="s">
        <v>45</v>
      </c>
      <c r="F86" s="19" t="s">
        <v>20</v>
      </c>
      <c r="G86" s="80">
        <v>1</v>
      </c>
      <c r="H86" s="21">
        <v>11535.28</v>
      </c>
      <c r="I86" s="74">
        <f t="shared" si="4"/>
        <v>138423.36000000002</v>
      </c>
      <c r="J86" s="19">
        <v>12</v>
      </c>
      <c r="K86" s="74">
        <f t="shared" si="5"/>
        <v>18962.104109589043</v>
      </c>
      <c r="L86" s="21"/>
      <c r="M86" s="85">
        <f t="shared" si="6"/>
        <v>157385.46410958905</v>
      </c>
    </row>
    <row r="87" spans="1:13" ht="15.75" thickBot="1">
      <c r="A87" s="18" t="s">
        <v>120</v>
      </c>
      <c r="B87" s="18" t="s">
        <v>109</v>
      </c>
      <c r="C87" s="18"/>
      <c r="D87" s="19">
        <v>8</v>
      </c>
      <c r="E87" s="19" t="s">
        <v>45</v>
      </c>
      <c r="F87" s="19" t="s">
        <v>20</v>
      </c>
      <c r="G87" s="80">
        <v>1</v>
      </c>
      <c r="H87" s="21">
        <f>7295.4*1.05</f>
        <v>7660.17</v>
      </c>
      <c r="I87" s="74">
        <f t="shared" si="4"/>
        <v>91922.04000000001</v>
      </c>
      <c r="J87" s="19">
        <v>12</v>
      </c>
      <c r="K87" s="74">
        <f t="shared" si="5"/>
        <v>12592.060273972604</v>
      </c>
      <c r="L87" s="21"/>
      <c r="M87" s="85">
        <f t="shared" si="6"/>
        <v>104514.10027397261</v>
      </c>
    </row>
    <row r="88" spans="1:13" ht="15.75" thickBot="1">
      <c r="A88" s="18" t="s">
        <v>120</v>
      </c>
      <c r="B88" s="18" t="s">
        <v>109</v>
      </c>
      <c r="C88" s="18"/>
      <c r="D88" s="19">
        <v>8</v>
      </c>
      <c r="E88" s="19" t="s">
        <v>45</v>
      </c>
      <c r="F88" s="19" t="s">
        <v>20</v>
      </c>
      <c r="G88" s="80">
        <v>1</v>
      </c>
      <c r="H88" s="21">
        <v>7607.6</v>
      </c>
      <c r="I88" s="74">
        <f t="shared" si="4"/>
        <v>91291.20000000001</v>
      </c>
      <c r="J88" s="19">
        <v>12</v>
      </c>
      <c r="K88" s="74">
        <f t="shared" si="5"/>
        <v>12505.64383561644</v>
      </c>
      <c r="L88" s="21"/>
      <c r="M88" s="85">
        <f t="shared" si="6"/>
        <v>103796.84383561646</v>
      </c>
    </row>
    <row r="89" spans="1:13" ht="15.75" thickBot="1">
      <c r="A89" s="18" t="s">
        <v>120</v>
      </c>
      <c r="B89" s="18" t="s">
        <v>109</v>
      </c>
      <c r="C89" s="18"/>
      <c r="D89" s="19">
        <v>8</v>
      </c>
      <c r="E89" s="19" t="s">
        <v>45</v>
      </c>
      <c r="F89" s="19" t="s">
        <v>20</v>
      </c>
      <c r="G89" s="80">
        <v>1</v>
      </c>
      <c r="H89" s="21">
        <f>10986*1.05</f>
        <v>11535.300000000001</v>
      </c>
      <c r="I89" s="74">
        <f t="shared" si="4"/>
        <v>138423.6</v>
      </c>
      <c r="J89" s="19">
        <v>12</v>
      </c>
      <c r="K89" s="74">
        <f t="shared" si="5"/>
        <v>18962.13698630137</v>
      </c>
      <c r="L89" s="21"/>
      <c r="M89" s="85">
        <f t="shared" si="6"/>
        <v>157385.73698630137</v>
      </c>
    </row>
    <row r="90" spans="1:13" ht="15.75" thickBot="1">
      <c r="A90" s="18" t="s">
        <v>120</v>
      </c>
      <c r="B90" s="18" t="s">
        <v>109</v>
      </c>
      <c r="C90" s="18"/>
      <c r="D90" s="19">
        <v>8</v>
      </c>
      <c r="E90" s="19" t="s">
        <v>45</v>
      </c>
      <c r="F90" s="19" t="s">
        <v>20</v>
      </c>
      <c r="G90" s="80">
        <v>1</v>
      </c>
      <c r="H90" s="21">
        <f>10986*1.05</f>
        <v>11535.300000000001</v>
      </c>
      <c r="I90" s="74">
        <f t="shared" si="4"/>
        <v>138423.6</v>
      </c>
      <c r="J90" s="19">
        <v>12</v>
      </c>
      <c r="K90" s="74">
        <f t="shared" si="5"/>
        <v>18962.13698630137</v>
      </c>
      <c r="L90" s="21"/>
      <c r="M90" s="85">
        <f t="shared" si="6"/>
        <v>157385.73698630137</v>
      </c>
    </row>
    <row r="91" spans="1:13" ht="15.75" thickBot="1">
      <c r="A91" s="18" t="s">
        <v>251</v>
      </c>
      <c r="B91" s="18" t="s">
        <v>109</v>
      </c>
      <c r="C91" s="18"/>
      <c r="D91" s="19">
        <v>8</v>
      </c>
      <c r="E91" s="19" t="s">
        <v>45</v>
      </c>
      <c r="F91" s="19" t="s">
        <v>20</v>
      </c>
      <c r="G91" s="80">
        <v>1</v>
      </c>
      <c r="H91" s="21">
        <v>6409.02</v>
      </c>
      <c r="I91" s="74">
        <f t="shared" si="4"/>
        <v>76908.24</v>
      </c>
      <c r="J91" s="19">
        <v>12</v>
      </c>
      <c r="K91" s="74">
        <f t="shared" si="5"/>
        <v>10535.375342465753</v>
      </c>
      <c r="L91" s="21"/>
      <c r="M91" s="85">
        <f t="shared" si="6"/>
        <v>87443.61534246575</v>
      </c>
    </row>
    <row r="92" spans="1:13" ht="15.75" thickBot="1">
      <c r="A92" s="18" t="s">
        <v>251</v>
      </c>
      <c r="B92" s="18" t="s">
        <v>109</v>
      </c>
      <c r="C92" s="18"/>
      <c r="D92" s="19">
        <v>8</v>
      </c>
      <c r="E92" s="19" t="s">
        <v>45</v>
      </c>
      <c r="F92" s="19" t="s">
        <v>20</v>
      </c>
      <c r="G92" s="80">
        <v>1</v>
      </c>
      <c r="H92" s="21">
        <v>6409.02</v>
      </c>
      <c r="I92" s="74">
        <f t="shared" si="4"/>
        <v>76908.24</v>
      </c>
      <c r="J92" s="19">
        <v>12</v>
      </c>
      <c r="K92" s="74">
        <f t="shared" si="5"/>
        <v>10535.375342465753</v>
      </c>
      <c r="L92" s="21"/>
      <c r="M92" s="85">
        <f t="shared" si="6"/>
        <v>87443.61534246575</v>
      </c>
    </row>
    <row r="93" spans="1:13" ht="15.75" thickBot="1">
      <c r="A93" s="18" t="s">
        <v>198</v>
      </c>
      <c r="B93" s="18" t="s">
        <v>109</v>
      </c>
      <c r="C93" s="18"/>
      <c r="D93" s="19">
        <v>8</v>
      </c>
      <c r="E93" s="19" t="s">
        <v>45</v>
      </c>
      <c r="F93" s="19" t="s">
        <v>20</v>
      </c>
      <c r="G93" s="80">
        <v>1</v>
      </c>
      <c r="H93" s="21">
        <v>12740.82</v>
      </c>
      <c r="I93" s="74">
        <f t="shared" si="4"/>
        <v>152889.84</v>
      </c>
      <c r="J93" s="19">
        <v>12</v>
      </c>
      <c r="K93" s="74">
        <f t="shared" si="5"/>
        <v>20943.813698630136</v>
      </c>
      <c r="L93" s="21"/>
      <c r="M93" s="85">
        <f t="shared" si="6"/>
        <v>173833.65369863014</v>
      </c>
    </row>
    <row r="94" spans="1:13" ht="15">
      <c r="A94" s="18" t="s">
        <v>199</v>
      </c>
      <c r="B94" s="18" t="s">
        <v>200</v>
      </c>
      <c r="C94" s="18"/>
      <c r="D94" s="19">
        <v>8</v>
      </c>
      <c r="E94" s="19" t="s">
        <v>45</v>
      </c>
      <c r="F94" s="19" t="s">
        <v>20</v>
      </c>
      <c r="G94" s="80">
        <v>1</v>
      </c>
      <c r="H94" s="21">
        <v>8593.43</v>
      </c>
      <c r="I94" s="74">
        <f t="shared" si="4"/>
        <v>103121.16</v>
      </c>
      <c r="J94" s="19">
        <v>12</v>
      </c>
      <c r="K94" s="74">
        <f t="shared" si="5"/>
        <v>14126.186301369864</v>
      </c>
      <c r="L94" s="21"/>
      <c r="M94" s="85">
        <f t="shared" si="6"/>
        <v>117247.34630136986</v>
      </c>
    </row>
    <row r="95" spans="1:13" ht="15">
      <c r="A95" s="48"/>
      <c r="B95" s="48"/>
      <c r="C95" s="48"/>
      <c r="D95" s="49" t="s">
        <v>43</v>
      </c>
      <c r="E95" s="49"/>
      <c r="F95" s="49" t="s">
        <v>91</v>
      </c>
      <c r="G95" s="49">
        <f>SUM(G50:G87)</f>
        <v>38</v>
      </c>
      <c r="H95" s="50">
        <f>SUM(H50:H87)</f>
        <v>341612.9305000002</v>
      </c>
      <c r="I95" s="50">
        <f>SUM(I50:I87)</f>
        <v>3815767.5300000007</v>
      </c>
      <c r="J95" s="49"/>
      <c r="K95" s="50">
        <f>SUM(K50:K87)</f>
        <v>522707.8808219177</v>
      </c>
      <c r="L95" s="50"/>
      <c r="M95" s="50">
        <f>SUM(M50:M87)</f>
        <v>4338475.4108219175</v>
      </c>
    </row>
    <row r="96" spans="1:13" ht="15">
      <c r="A96" s="48"/>
      <c r="B96" s="48"/>
      <c r="C96" s="48"/>
      <c r="D96" s="49" t="s">
        <v>47</v>
      </c>
      <c r="E96" s="49"/>
      <c r="F96" s="49" t="s">
        <v>91</v>
      </c>
      <c r="G96" s="49">
        <f>G95+G48</f>
        <v>79</v>
      </c>
      <c r="H96" s="50">
        <f>SUM(H48+H95)</f>
        <v>878916.2370000004</v>
      </c>
      <c r="I96" s="50">
        <f>SUM(I48+I95)</f>
        <v>10004730.275500001</v>
      </c>
      <c r="J96" s="48"/>
      <c r="K96" s="50">
        <f>SUM(K48+K95)</f>
        <v>1370510.9966438354</v>
      </c>
      <c r="L96" s="50"/>
      <c r="M96" s="50">
        <f>SUM(M48+M95)</f>
        <v>11375241.272143837</v>
      </c>
    </row>
    <row r="97" spans="1:13" ht="15">
      <c r="A97" s="2"/>
      <c r="B97" s="2"/>
      <c r="C97" s="2"/>
      <c r="D97" s="3"/>
      <c r="E97" s="3"/>
      <c r="F97" s="3"/>
      <c r="G97" s="3"/>
      <c r="H97" s="2"/>
      <c r="I97" s="2"/>
      <c r="J97" s="2"/>
      <c r="K97" s="2"/>
      <c r="L97" s="2"/>
      <c r="M97" s="2"/>
    </row>
  </sheetData>
  <sheetProtection/>
  <mergeCells count="3">
    <mergeCell ref="A1:M1"/>
    <mergeCell ref="A2:M2"/>
    <mergeCell ref="A5:M5"/>
  </mergeCells>
  <printOptions/>
  <pageMargins left="0.7" right="0.7" top="0.75" bottom="0.75" header="0.3" footer="0.3"/>
  <pageSetup fitToHeight="0" fitToWidth="1" horizontalDpi="600" verticalDpi="600" orientation="landscape" paperSize="190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C5" sqref="C5:C73"/>
    </sheetView>
  </sheetViews>
  <sheetFormatPr defaultColWidth="11.421875" defaultRowHeight="15"/>
  <cols>
    <col min="3" max="3" width="34.28125" style="0" customWidth="1"/>
  </cols>
  <sheetData>
    <row r="1" spans="1:13" ht="18">
      <c r="A1" s="191" t="s">
        <v>247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8.75" thickBot="1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ht="15.75" thickBot="1">
      <c r="A3" s="2"/>
      <c r="B3" s="2"/>
      <c r="C3" s="2"/>
      <c r="D3" s="3"/>
      <c r="E3" s="3"/>
      <c r="F3" s="3"/>
      <c r="G3" s="3"/>
      <c r="H3" s="2"/>
      <c r="I3" s="2"/>
      <c r="J3" s="2"/>
      <c r="K3" s="2"/>
      <c r="L3" s="2"/>
      <c r="M3" s="2"/>
    </row>
    <row r="4" spans="1:13" ht="38.25">
      <c r="A4" s="153" t="s">
        <v>3</v>
      </c>
      <c r="B4" s="153" t="s">
        <v>4</v>
      </c>
      <c r="C4" s="154" t="s">
        <v>5</v>
      </c>
      <c r="D4" s="153" t="s">
        <v>6</v>
      </c>
      <c r="E4" s="153" t="s">
        <v>7</v>
      </c>
      <c r="F4" s="153" t="s">
        <v>8</v>
      </c>
      <c r="G4" s="153" t="s">
        <v>9</v>
      </c>
      <c r="H4" s="153" t="s">
        <v>10</v>
      </c>
      <c r="I4" s="153" t="s">
        <v>11</v>
      </c>
      <c r="J4" s="153" t="s">
        <v>12</v>
      </c>
      <c r="K4" s="153" t="s">
        <v>13</v>
      </c>
      <c r="L4" s="153" t="s">
        <v>14</v>
      </c>
      <c r="M4" s="153" t="s">
        <v>15</v>
      </c>
    </row>
    <row r="5" spans="1:13" ht="15">
      <c r="A5" s="156" t="s">
        <v>214</v>
      </c>
      <c r="B5" s="157" t="s">
        <v>24</v>
      </c>
      <c r="C5" s="158"/>
      <c r="D5" s="159">
        <v>40</v>
      </c>
      <c r="E5" s="159"/>
      <c r="F5" s="159" t="s">
        <v>20</v>
      </c>
      <c r="G5" s="159">
        <v>1</v>
      </c>
      <c r="H5" s="160">
        <v>8040.62</v>
      </c>
      <c r="I5" s="161">
        <f aca="true" t="shared" si="0" ref="I5:I36">H5*J5</f>
        <v>96487.44</v>
      </c>
      <c r="J5" s="157">
        <v>12</v>
      </c>
      <c r="K5" s="161">
        <f aca="true" t="shared" si="1" ref="K5:K63">+I5/365*50</f>
        <v>13217.457534246574</v>
      </c>
      <c r="L5" s="161"/>
      <c r="M5" s="161">
        <f aca="true" t="shared" si="2" ref="M5:M63">+I5+K5</f>
        <v>109704.89753424657</v>
      </c>
    </row>
    <row r="6" spans="1:13" ht="15">
      <c r="A6" s="156" t="s">
        <v>214</v>
      </c>
      <c r="B6" s="157" t="s">
        <v>24</v>
      </c>
      <c r="C6" s="158"/>
      <c r="D6" s="159">
        <v>40</v>
      </c>
      <c r="E6" s="159"/>
      <c r="F6" s="159" t="s">
        <v>20</v>
      </c>
      <c r="G6" s="159">
        <v>1</v>
      </c>
      <c r="H6" s="160">
        <v>1730.32</v>
      </c>
      <c r="I6" s="161">
        <f t="shared" si="0"/>
        <v>20763.84</v>
      </c>
      <c r="J6" s="157">
        <v>12</v>
      </c>
      <c r="K6" s="161">
        <f t="shared" si="1"/>
        <v>2844.3616438356166</v>
      </c>
      <c r="L6" s="161"/>
      <c r="M6" s="161">
        <f t="shared" si="2"/>
        <v>23608.201643835615</v>
      </c>
    </row>
    <row r="7" spans="1:13" ht="15">
      <c r="A7" s="156" t="s">
        <v>214</v>
      </c>
      <c r="B7" s="157" t="s">
        <v>24</v>
      </c>
      <c r="C7" s="158"/>
      <c r="D7" s="159">
        <v>40</v>
      </c>
      <c r="E7" s="159"/>
      <c r="F7" s="159" t="s">
        <v>20</v>
      </c>
      <c r="G7" s="159">
        <v>1</v>
      </c>
      <c r="H7" s="160">
        <f>9750*1.05</f>
        <v>10237.5</v>
      </c>
      <c r="I7" s="161">
        <f t="shared" si="0"/>
        <v>10237.5</v>
      </c>
      <c r="J7" s="157">
        <v>1</v>
      </c>
      <c r="K7" s="161">
        <f t="shared" si="1"/>
        <v>1402.3972602739725</v>
      </c>
      <c r="L7" s="161"/>
      <c r="M7" s="161">
        <f t="shared" si="2"/>
        <v>11639.897260273972</v>
      </c>
    </row>
    <row r="8" spans="1:13" ht="15">
      <c r="A8" s="156" t="s">
        <v>214</v>
      </c>
      <c r="B8" s="157" t="s">
        <v>24</v>
      </c>
      <c r="C8" s="158"/>
      <c r="D8" s="159">
        <v>40</v>
      </c>
      <c r="E8" s="159"/>
      <c r="F8" s="159" t="s">
        <v>20</v>
      </c>
      <c r="G8" s="159">
        <v>1</v>
      </c>
      <c r="H8" s="160">
        <v>9227.98</v>
      </c>
      <c r="I8" s="161">
        <f t="shared" si="0"/>
        <v>110735.76</v>
      </c>
      <c r="J8" s="157">
        <v>12</v>
      </c>
      <c r="K8" s="161">
        <f t="shared" si="1"/>
        <v>15169.28219178082</v>
      </c>
      <c r="L8" s="161"/>
      <c r="M8" s="161">
        <f t="shared" si="2"/>
        <v>125905.04219178081</v>
      </c>
    </row>
    <row r="9" spans="1:13" ht="15">
      <c r="A9" s="156" t="s">
        <v>214</v>
      </c>
      <c r="B9" s="157" t="s">
        <v>24</v>
      </c>
      <c r="C9" s="158"/>
      <c r="D9" s="159">
        <v>40</v>
      </c>
      <c r="E9" s="159"/>
      <c r="F9" s="159" t="s">
        <v>20</v>
      </c>
      <c r="G9" s="159">
        <v>1</v>
      </c>
      <c r="H9" s="160">
        <v>2858.64</v>
      </c>
      <c r="I9" s="161">
        <f t="shared" si="0"/>
        <v>34303.68</v>
      </c>
      <c r="J9" s="157">
        <v>12</v>
      </c>
      <c r="K9" s="161">
        <f t="shared" si="1"/>
        <v>4699.134246575342</v>
      </c>
      <c r="L9" s="161"/>
      <c r="M9" s="161">
        <f t="shared" si="2"/>
        <v>39002.81424657534</v>
      </c>
    </row>
    <row r="10" spans="1:13" ht="15">
      <c r="A10" s="156" t="s">
        <v>214</v>
      </c>
      <c r="B10" s="157" t="s">
        <v>24</v>
      </c>
      <c r="C10" s="158"/>
      <c r="D10" s="159">
        <v>40</v>
      </c>
      <c r="E10" s="159"/>
      <c r="F10" s="159" t="s">
        <v>20</v>
      </c>
      <c r="G10" s="159">
        <v>1</v>
      </c>
      <c r="H10" s="160">
        <v>4786.08</v>
      </c>
      <c r="I10" s="161">
        <f t="shared" si="0"/>
        <v>57432.96</v>
      </c>
      <c r="J10" s="157">
        <v>12</v>
      </c>
      <c r="K10" s="161">
        <f t="shared" si="1"/>
        <v>7867.528767123288</v>
      </c>
      <c r="L10" s="161"/>
      <c r="M10" s="161">
        <f t="shared" si="2"/>
        <v>65300.48876712329</v>
      </c>
    </row>
    <row r="11" spans="1:13" ht="15">
      <c r="A11" s="156" t="s">
        <v>214</v>
      </c>
      <c r="B11" s="157" t="s">
        <v>24</v>
      </c>
      <c r="C11" s="158"/>
      <c r="D11" s="159">
        <v>40</v>
      </c>
      <c r="E11" s="159"/>
      <c r="F11" s="159" t="s">
        <v>20</v>
      </c>
      <c r="G11" s="159">
        <v>1</v>
      </c>
      <c r="H11" s="160">
        <v>8954.02</v>
      </c>
      <c r="I11" s="161">
        <f t="shared" si="0"/>
        <v>107448.24</v>
      </c>
      <c r="J11" s="157">
        <v>12</v>
      </c>
      <c r="K11" s="161">
        <f t="shared" si="1"/>
        <v>14718.936986301369</v>
      </c>
      <c r="L11" s="161"/>
      <c r="M11" s="161">
        <f t="shared" si="2"/>
        <v>122167.17698630138</v>
      </c>
    </row>
    <row r="12" spans="1:13" ht="15">
      <c r="A12" s="156" t="s">
        <v>214</v>
      </c>
      <c r="B12" s="157" t="s">
        <v>24</v>
      </c>
      <c r="C12" s="158"/>
      <c r="D12" s="159">
        <v>40</v>
      </c>
      <c r="E12" s="159"/>
      <c r="F12" s="159" t="s">
        <v>20</v>
      </c>
      <c r="G12" s="159">
        <v>1</v>
      </c>
      <c r="H12" s="160">
        <v>6056.32</v>
      </c>
      <c r="I12" s="161">
        <f t="shared" si="0"/>
        <v>72675.84</v>
      </c>
      <c r="J12" s="157">
        <v>12</v>
      </c>
      <c r="K12" s="161">
        <f t="shared" si="1"/>
        <v>9955.594520547944</v>
      </c>
      <c r="L12" s="161"/>
      <c r="M12" s="161">
        <f t="shared" si="2"/>
        <v>82631.43452054795</v>
      </c>
    </row>
    <row r="13" spans="1:13" ht="15">
      <c r="A13" s="156" t="s">
        <v>214</v>
      </c>
      <c r="B13" s="157" t="s">
        <v>24</v>
      </c>
      <c r="C13" s="158"/>
      <c r="D13" s="159">
        <v>40</v>
      </c>
      <c r="E13" s="159"/>
      <c r="F13" s="159" t="s">
        <v>20</v>
      </c>
      <c r="G13" s="159">
        <v>1</v>
      </c>
      <c r="H13" s="160">
        <v>4258.12</v>
      </c>
      <c r="I13" s="161">
        <f t="shared" si="0"/>
        <v>51097.44</v>
      </c>
      <c r="J13" s="157">
        <v>12</v>
      </c>
      <c r="K13" s="161">
        <f t="shared" si="1"/>
        <v>6999.649315068494</v>
      </c>
      <c r="L13" s="161"/>
      <c r="M13" s="161">
        <f t="shared" si="2"/>
        <v>58097.08931506849</v>
      </c>
    </row>
    <row r="14" spans="1:13" ht="15">
      <c r="A14" s="156" t="s">
        <v>214</v>
      </c>
      <c r="B14" s="157" t="s">
        <v>24</v>
      </c>
      <c r="C14" s="158"/>
      <c r="D14" s="159">
        <v>40</v>
      </c>
      <c r="E14" s="159"/>
      <c r="F14" s="159" t="s">
        <v>20</v>
      </c>
      <c r="G14" s="159">
        <v>1</v>
      </c>
      <c r="H14" s="160">
        <f>10006*1.05</f>
        <v>10506.300000000001</v>
      </c>
      <c r="I14" s="161">
        <f t="shared" si="0"/>
        <v>126075.6</v>
      </c>
      <c r="J14" s="157">
        <v>12</v>
      </c>
      <c r="K14" s="161">
        <f t="shared" si="1"/>
        <v>17270.6301369863</v>
      </c>
      <c r="L14" s="161"/>
      <c r="M14" s="161">
        <f t="shared" si="2"/>
        <v>143346.2301369863</v>
      </c>
    </row>
    <row r="15" spans="1:13" ht="15">
      <c r="A15" s="156" t="s">
        <v>214</v>
      </c>
      <c r="B15" s="157" t="s">
        <v>24</v>
      </c>
      <c r="C15" s="158"/>
      <c r="D15" s="159">
        <v>40</v>
      </c>
      <c r="E15" s="159"/>
      <c r="F15" s="159" t="s">
        <v>20</v>
      </c>
      <c r="G15" s="159">
        <v>1</v>
      </c>
      <c r="H15" s="160">
        <v>10391.3</v>
      </c>
      <c r="I15" s="161">
        <f t="shared" si="0"/>
        <v>124695.59999999999</v>
      </c>
      <c r="J15" s="157">
        <v>12</v>
      </c>
      <c r="K15" s="161">
        <f t="shared" si="1"/>
        <v>17081.58904109589</v>
      </c>
      <c r="L15" s="161"/>
      <c r="M15" s="161">
        <f t="shared" si="2"/>
        <v>141777.18904109587</v>
      </c>
    </row>
    <row r="16" spans="1:13" ht="15">
      <c r="A16" s="156" t="s">
        <v>214</v>
      </c>
      <c r="B16" s="157" t="s">
        <v>24</v>
      </c>
      <c r="C16" s="158"/>
      <c r="D16" s="159">
        <v>40</v>
      </c>
      <c r="E16" s="159"/>
      <c r="F16" s="159" t="s">
        <v>20</v>
      </c>
      <c r="G16" s="159">
        <v>1</v>
      </c>
      <c r="H16" s="160">
        <v>10546.14</v>
      </c>
      <c r="I16" s="161">
        <f t="shared" si="0"/>
        <v>126553.68</v>
      </c>
      <c r="J16" s="157">
        <v>12</v>
      </c>
      <c r="K16" s="161">
        <f t="shared" si="1"/>
        <v>17336.120547945204</v>
      </c>
      <c r="L16" s="161"/>
      <c r="M16" s="161">
        <f t="shared" si="2"/>
        <v>143889.8005479452</v>
      </c>
    </row>
    <row r="17" spans="1:13" ht="15">
      <c r="A17" s="156" t="s">
        <v>214</v>
      </c>
      <c r="B17" s="157" t="s">
        <v>24</v>
      </c>
      <c r="C17" s="158"/>
      <c r="D17" s="159">
        <v>40</v>
      </c>
      <c r="E17" s="159"/>
      <c r="F17" s="159" t="s">
        <v>20</v>
      </c>
      <c r="G17" s="159">
        <v>1</v>
      </c>
      <c r="H17" s="160">
        <v>9162.6</v>
      </c>
      <c r="I17" s="161">
        <f t="shared" si="0"/>
        <v>109951.20000000001</v>
      </c>
      <c r="J17" s="157">
        <v>12</v>
      </c>
      <c r="K17" s="161">
        <f t="shared" si="1"/>
        <v>15061.808219178085</v>
      </c>
      <c r="L17" s="161"/>
      <c r="M17" s="161">
        <f t="shared" si="2"/>
        <v>125013.0082191781</v>
      </c>
    </row>
    <row r="18" spans="1:13" ht="15">
      <c r="A18" s="156" t="s">
        <v>214</v>
      </c>
      <c r="B18" s="157" t="s">
        <v>24</v>
      </c>
      <c r="C18" s="158"/>
      <c r="D18" s="159">
        <v>40</v>
      </c>
      <c r="E18" s="159"/>
      <c r="F18" s="159" t="s">
        <v>20</v>
      </c>
      <c r="G18" s="159">
        <v>1</v>
      </c>
      <c r="H18" s="160">
        <v>8222.5</v>
      </c>
      <c r="I18" s="161">
        <f t="shared" si="0"/>
        <v>98670</v>
      </c>
      <c r="J18" s="157">
        <v>12</v>
      </c>
      <c r="K18" s="161">
        <f t="shared" si="1"/>
        <v>13516.438356164383</v>
      </c>
      <c r="L18" s="161"/>
      <c r="M18" s="161">
        <f t="shared" si="2"/>
        <v>112186.43835616438</v>
      </c>
    </row>
    <row r="19" spans="1:13" ht="15">
      <c r="A19" s="156" t="s">
        <v>214</v>
      </c>
      <c r="B19" s="157" t="s">
        <v>24</v>
      </c>
      <c r="C19" s="158"/>
      <c r="D19" s="159">
        <v>40</v>
      </c>
      <c r="E19" s="159"/>
      <c r="F19" s="159" t="s">
        <v>20</v>
      </c>
      <c r="G19" s="159">
        <v>1</v>
      </c>
      <c r="H19" s="160">
        <v>4258.12</v>
      </c>
      <c r="I19" s="161">
        <f t="shared" si="0"/>
        <v>51097.44</v>
      </c>
      <c r="J19" s="157">
        <v>12</v>
      </c>
      <c r="K19" s="161">
        <f t="shared" si="1"/>
        <v>6999.649315068494</v>
      </c>
      <c r="L19" s="161"/>
      <c r="M19" s="161">
        <f t="shared" si="2"/>
        <v>58097.08931506849</v>
      </c>
    </row>
    <row r="20" spans="1:13" ht="15">
      <c r="A20" s="156" t="s">
        <v>214</v>
      </c>
      <c r="B20" s="157" t="s">
        <v>24</v>
      </c>
      <c r="C20" s="158"/>
      <c r="D20" s="159">
        <v>40</v>
      </c>
      <c r="E20" s="159"/>
      <c r="F20" s="159" t="s">
        <v>20</v>
      </c>
      <c r="G20" s="159">
        <v>1</v>
      </c>
      <c r="H20" s="160">
        <f>1635*1.05</f>
        <v>1716.75</v>
      </c>
      <c r="I20" s="161">
        <f t="shared" si="0"/>
        <v>20601</v>
      </c>
      <c r="J20" s="157">
        <v>12</v>
      </c>
      <c r="K20" s="161">
        <f t="shared" si="1"/>
        <v>2822.0547945205476</v>
      </c>
      <c r="L20" s="161"/>
      <c r="M20" s="161">
        <f t="shared" si="2"/>
        <v>23423.054794520547</v>
      </c>
    </row>
    <row r="21" spans="1:13" ht="15">
      <c r="A21" s="156" t="s">
        <v>214</v>
      </c>
      <c r="B21" s="157" t="s">
        <v>24</v>
      </c>
      <c r="C21" s="158"/>
      <c r="D21" s="159">
        <v>40</v>
      </c>
      <c r="E21" s="159"/>
      <c r="F21" s="159" t="s">
        <v>20</v>
      </c>
      <c r="G21" s="159">
        <v>1</v>
      </c>
      <c r="H21" s="160">
        <v>1733.44</v>
      </c>
      <c r="I21" s="161">
        <f t="shared" si="0"/>
        <v>20801.28</v>
      </c>
      <c r="J21" s="157">
        <v>12</v>
      </c>
      <c r="K21" s="161">
        <f t="shared" si="1"/>
        <v>2849.490410958904</v>
      </c>
      <c r="L21" s="161"/>
      <c r="M21" s="161">
        <f t="shared" si="2"/>
        <v>23650.770410958903</v>
      </c>
    </row>
    <row r="22" spans="1:13" ht="15">
      <c r="A22" s="156" t="s">
        <v>214</v>
      </c>
      <c r="B22" s="157" t="s">
        <v>24</v>
      </c>
      <c r="C22" s="158"/>
      <c r="D22" s="159">
        <v>40</v>
      </c>
      <c r="E22" s="159"/>
      <c r="F22" s="159" t="s">
        <v>20</v>
      </c>
      <c r="G22" s="159">
        <v>1</v>
      </c>
      <c r="H22" s="160">
        <v>1467.34</v>
      </c>
      <c r="I22" s="161">
        <f t="shared" si="0"/>
        <v>17608.079999999998</v>
      </c>
      <c r="J22" s="157">
        <v>12</v>
      </c>
      <c r="K22" s="161">
        <f t="shared" si="1"/>
        <v>2412.065753424657</v>
      </c>
      <c r="L22" s="161"/>
      <c r="M22" s="161">
        <f t="shared" si="2"/>
        <v>20020.145753424655</v>
      </c>
    </row>
    <row r="23" spans="1:13" ht="15">
      <c r="A23" s="156" t="s">
        <v>214</v>
      </c>
      <c r="B23" s="157" t="s">
        <v>24</v>
      </c>
      <c r="C23" s="158"/>
      <c r="D23" s="159">
        <v>40</v>
      </c>
      <c r="E23" s="159"/>
      <c r="F23" s="159" t="s">
        <v>20</v>
      </c>
      <c r="G23" s="159">
        <v>1</v>
      </c>
      <c r="H23" s="160">
        <v>4090.96</v>
      </c>
      <c r="I23" s="161">
        <f t="shared" si="0"/>
        <v>49091.520000000004</v>
      </c>
      <c r="J23" s="157">
        <v>12</v>
      </c>
      <c r="K23" s="161">
        <f t="shared" si="1"/>
        <v>6724.865753424658</v>
      </c>
      <c r="L23" s="161"/>
      <c r="M23" s="161">
        <f t="shared" si="2"/>
        <v>55816.38575342466</v>
      </c>
    </row>
    <row r="24" spans="1:13" ht="15">
      <c r="A24" s="156" t="s">
        <v>214</v>
      </c>
      <c r="B24" s="157" t="s">
        <v>24</v>
      </c>
      <c r="C24" s="158"/>
      <c r="D24" s="159">
        <v>40</v>
      </c>
      <c r="E24" s="159"/>
      <c r="F24" s="159" t="s">
        <v>20</v>
      </c>
      <c r="G24" s="159">
        <v>1</v>
      </c>
      <c r="H24" s="160">
        <f>7910*1.05</f>
        <v>8305.5</v>
      </c>
      <c r="I24" s="161">
        <f t="shared" si="0"/>
        <v>99666</v>
      </c>
      <c r="J24" s="157">
        <v>12</v>
      </c>
      <c r="K24" s="161">
        <f t="shared" si="1"/>
        <v>13652.876712328767</v>
      </c>
      <c r="L24" s="161"/>
      <c r="M24" s="161">
        <f t="shared" si="2"/>
        <v>113318.87671232877</v>
      </c>
    </row>
    <row r="25" spans="1:13" ht="15">
      <c r="A25" s="156" t="s">
        <v>214</v>
      </c>
      <c r="B25" s="157" t="s">
        <v>24</v>
      </c>
      <c r="C25" s="158"/>
      <c r="D25" s="159">
        <v>40</v>
      </c>
      <c r="E25" s="159"/>
      <c r="F25" s="159" t="s">
        <v>20</v>
      </c>
      <c r="G25" s="159">
        <v>1</v>
      </c>
      <c r="H25" s="160">
        <v>1499.74</v>
      </c>
      <c r="I25" s="161">
        <f t="shared" si="0"/>
        <v>17996.88</v>
      </c>
      <c r="J25" s="157">
        <v>12</v>
      </c>
      <c r="K25" s="161">
        <f t="shared" si="1"/>
        <v>2465.3260273972605</v>
      </c>
      <c r="L25" s="161"/>
      <c r="M25" s="161">
        <f t="shared" si="2"/>
        <v>20462.20602739726</v>
      </c>
    </row>
    <row r="26" spans="1:13" ht="15">
      <c r="A26" s="156" t="s">
        <v>214</v>
      </c>
      <c r="B26" s="157" t="s">
        <v>24</v>
      </c>
      <c r="C26" s="158"/>
      <c r="D26" s="159">
        <v>40</v>
      </c>
      <c r="E26" s="159"/>
      <c r="F26" s="159" t="s">
        <v>20</v>
      </c>
      <c r="G26" s="159">
        <v>1</v>
      </c>
      <c r="H26" s="160">
        <v>5740.42</v>
      </c>
      <c r="I26" s="161">
        <f t="shared" si="0"/>
        <v>68885.04000000001</v>
      </c>
      <c r="J26" s="157">
        <v>12</v>
      </c>
      <c r="K26" s="161">
        <f t="shared" si="1"/>
        <v>9436.30684931507</v>
      </c>
      <c r="L26" s="161"/>
      <c r="M26" s="161">
        <f t="shared" si="2"/>
        <v>78321.34684931507</v>
      </c>
    </row>
    <row r="27" spans="1:13" ht="15">
      <c r="A27" s="156" t="s">
        <v>214</v>
      </c>
      <c r="B27" s="157" t="s">
        <v>24</v>
      </c>
      <c r="C27" s="158"/>
      <c r="D27" s="159">
        <v>40</v>
      </c>
      <c r="E27" s="159"/>
      <c r="F27" s="159" t="s">
        <v>20</v>
      </c>
      <c r="G27" s="159">
        <v>1</v>
      </c>
      <c r="H27" s="160">
        <v>559.04</v>
      </c>
      <c r="I27" s="161">
        <f t="shared" si="0"/>
        <v>6708.48</v>
      </c>
      <c r="J27" s="157">
        <v>12</v>
      </c>
      <c r="K27" s="161">
        <f t="shared" si="1"/>
        <v>918.9698630136986</v>
      </c>
      <c r="L27" s="161"/>
      <c r="M27" s="161">
        <f t="shared" si="2"/>
        <v>7627.449863013699</v>
      </c>
    </row>
    <row r="28" spans="1:13" ht="15">
      <c r="A28" s="156" t="s">
        <v>214</v>
      </c>
      <c r="B28" s="157" t="s">
        <v>24</v>
      </c>
      <c r="C28" s="158"/>
      <c r="D28" s="159">
        <v>40</v>
      </c>
      <c r="E28" s="159"/>
      <c r="F28" s="159" t="s">
        <v>20</v>
      </c>
      <c r="G28" s="159">
        <v>1</v>
      </c>
      <c r="H28" s="160">
        <v>2999.36</v>
      </c>
      <c r="I28" s="161">
        <f t="shared" si="0"/>
        <v>35992.32</v>
      </c>
      <c r="J28" s="157">
        <v>12</v>
      </c>
      <c r="K28" s="161">
        <f t="shared" si="1"/>
        <v>4930.454794520548</v>
      </c>
      <c r="L28" s="161"/>
      <c r="M28" s="161">
        <f t="shared" si="2"/>
        <v>40922.77479452055</v>
      </c>
    </row>
    <row r="29" spans="1:13" ht="15">
      <c r="A29" s="156" t="s">
        <v>214</v>
      </c>
      <c r="B29" s="157" t="s">
        <v>24</v>
      </c>
      <c r="C29" s="158"/>
      <c r="D29" s="159">
        <v>40</v>
      </c>
      <c r="E29" s="159"/>
      <c r="F29" s="159" t="s">
        <v>20</v>
      </c>
      <c r="G29" s="159">
        <v>1</v>
      </c>
      <c r="H29" s="160">
        <v>6324.6</v>
      </c>
      <c r="I29" s="161">
        <f t="shared" si="0"/>
        <v>75895.20000000001</v>
      </c>
      <c r="J29" s="157">
        <v>12</v>
      </c>
      <c r="K29" s="161">
        <f t="shared" si="1"/>
        <v>10396.60273972603</v>
      </c>
      <c r="L29" s="161"/>
      <c r="M29" s="161">
        <f t="shared" si="2"/>
        <v>86291.80273972604</v>
      </c>
    </row>
    <row r="30" spans="1:13" ht="15">
      <c r="A30" s="156" t="s">
        <v>214</v>
      </c>
      <c r="B30" s="157" t="s">
        <v>24</v>
      </c>
      <c r="C30" s="158"/>
      <c r="D30" s="159">
        <v>40</v>
      </c>
      <c r="E30" s="159"/>
      <c r="F30" s="159" t="s">
        <v>20</v>
      </c>
      <c r="G30" s="159">
        <v>1</v>
      </c>
      <c r="H30" s="160">
        <v>7163.22</v>
      </c>
      <c r="I30" s="161">
        <f t="shared" si="0"/>
        <v>85958.64</v>
      </c>
      <c r="J30" s="157">
        <v>12</v>
      </c>
      <c r="K30" s="161">
        <f t="shared" si="1"/>
        <v>11775.156164383561</v>
      </c>
      <c r="L30" s="161"/>
      <c r="M30" s="161">
        <f t="shared" si="2"/>
        <v>97733.79616438356</v>
      </c>
    </row>
    <row r="31" spans="1:13" ht="15">
      <c r="A31" s="156" t="s">
        <v>214</v>
      </c>
      <c r="B31" s="157" t="s">
        <v>24</v>
      </c>
      <c r="C31" s="158"/>
      <c r="D31" s="159">
        <v>40</v>
      </c>
      <c r="E31" s="159"/>
      <c r="F31" s="159" t="s">
        <v>20</v>
      </c>
      <c r="G31" s="159">
        <v>1</v>
      </c>
      <c r="H31" s="160">
        <v>12507.76</v>
      </c>
      <c r="I31" s="161">
        <f t="shared" si="0"/>
        <v>150093.12</v>
      </c>
      <c r="J31" s="157">
        <v>12</v>
      </c>
      <c r="K31" s="161">
        <f t="shared" si="1"/>
        <v>20560.701369863014</v>
      </c>
      <c r="L31" s="161"/>
      <c r="M31" s="161">
        <f t="shared" si="2"/>
        <v>170653.821369863</v>
      </c>
    </row>
    <row r="32" spans="1:13" ht="15">
      <c r="A32" s="156" t="s">
        <v>214</v>
      </c>
      <c r="B32" s="157" t="s">
        <v>24</v>
      </c>
      <c r="C32" s="158"/>
      <c r="D32" s="159">
        <v>40</v>
      </c>
      <c r="E32" s="159"/>
      <c r="F32" s="159" t="s">
        <v>20</v>
      </c>
      <c r="G32" s="159">
        <v>1</v>
      </c>
      <c r="H32" s="160">
        <f>7800*1.05</f>
        <v>8190</v>
      </c>
      <c r="I32" s="161">
        <f t="shared" si="0"/>
        <v>32760</v>
      </c>
      <c r="J32" s="157">
        <v>4</v>
      </c>
      <c r="K32" s="161">
        <f t="shared" si="1"/>
        <v>4487.671232876713</v>
      </c>
      <c r="L32" s="161"/>
      <c r="M32" s="161">
        <f t="shared" si="2"/>
        <v>37247.67123287671</v>
      </c>
    </row>
    <row r="33" spans="1:13" ht="15">
      <c r="A33" s="156" t="s">
        <v>214</v>
      </c>
      <c r="B33" s="157" t="s">
        <v>24</v>
      </c>
      <c r="C33" s="158"/>
      <c r="D33" s="159">
        <v>40</v>
      </c>
      <c r="E33" s="159"/>
      <c r="F33" s="159" t="s">
        <v>20</v>
      </c>
      <c r="G33" s="159">
        <v>1</v>
      </c>
      <c r="H33" s="160">
        <v>2393.06</v>
      </c>
      <c r="I33" s="161">
        <f t="shared" si="0"/>
        <v>28716.72</v>
      </c>
      <c r="J33" s="157">
        <v>12</v>
      </c>
      <c r="K33" s="161">
        <f t="shared" si="1"/>
        <v>3933.7972602739724</v>
      </c>
      <c r="L33" s="161"/>
      <c r="M33" s="161">
        <f t="shared" si="2"/>
        <v>32650.517260273973</v>
      </c>
    </row>
    <row r="34" spans="1:13" ht="15">
      <c r="A34" s="156" t="s">
        <v>214</v>
      </c>
      <c r="B34" s="157" t="s">
        <v>24</v>
      </c>
      <c r="C34" s="158"/>
      <c r="D34" s="159">
        <v>40</v>
      </c>
      <c r="E34" s="159"/>
      <c r="F34" s="159" t="s">
        <v>20</v>
      </c>
      <c r="G34" s="159">
        <v>1</v>
      </c>
      <c r="H34" s="160">
        <v>4258.12</v>
      </c>
      <c r="I34" s="161">
        <f t="shared" si="0"/>
        <v>51097.44</v>
      </c>
      <c r="J34" s="157">
        <v>12</v>
      </c>
      <c r="K34" s="161">
        <f t="shared" si="1"/>
        <v>6999.649315068494</v>
      </c>
      <c r="L34" s="161"/>
      <c r="M34" s="161">
        <f t="shared" si="2"/>
        <v>58097.08931506849</v>
      </c>
    </row>
    <row r="35" spans="1:13" ht="15">
      <c r="A35" s="156" t="s">
        <v>214</v>
      </c>
      <c r="B35" s="157" t="s">
        <v>24</v>
      </c>
      <c r="C35" s="158"/>
      <c r="D35" s="159">
        <v>40</v>
      </c>
      <c r="E35" s="159"/>
      <c r="F35" s="159" t="s">
        <v>20</v>
      </c>
      <c r="G35" s="159">
        <v>1</v>
      </c>
      <c r="H35" s="160">
        <v>7843.8</v>
      </c>
      <c r="I35" s="161">
        <f t="shared" si="0"/>
        <v>94125.6</v>
      </c>
      <c r="J35" s="157">
        <v>12</v>
      </c>
      <c r="K35" s="161">
        <f t="shared" si="1"/>
        <v>12893.91780821918</v>
      </c>
      <c r="L35" s="161"/>
      <c r="M35" s="161">
        <f t="shared" si="2"/>
        <v>107019.51780821919</v>
      </c>
    </row>
    <row r="36" spans="1:13" ht="15">
      <c r="A36" s="156" t="s">
        <v>214</v>
      </c>
      <c r="B36" s="157" t="s">
        <v>24</v>
      </c>
      <c r="C36" s="158"/>
      <c r="D36" s="159">
        <v>40</v>
      </c>
      <c r="E36" s="159"/>
      <c r="F36" s="159" t="s">
        <v>20</v>
      </c>
      <c r="G36" s="159">
        <v>1</v>
      </c>
      <c r="H36" s="160">
        <v>10482.72</v>
      </c>
      <c r="I36" s="161">
        <f t="shared" si="0"/>
        <v>125792.63999999998</v>
      </c>
      <c r="J36" s="157">
        <v>12</v>
      </c>
      <c r="K36" s="161">
        <f t="shared" si="1"/>
        <v>17231.868493150683</v>
      </c>
      <c r="L36" s="161"/>
      <c r="M36" s="161">
        <f t="shared" si="2"/>
        <v>143024.50849315067</v>
      </c>
    </row>
    <row r="37" spans="1:13" ht="15">
      <c r="A37" s="156" t="s">
        <v>214</v>
      </c>
      <c r="B37" s="157" t="s">
        <v>24</v>
      </c>
      <c r="C37" s="158"/>
      <c r="D37" s="159">
        <v>40</v>
      </c>
      <c r="E37" s="159"/>
      <c r="F37" s="159" t="s">
        <v>20</v>
      </c>
      <c r="G37" s="159">
        <v>1</v>
      </c>
      <c r="H37" s="160">
        <v>4216.02</v>
      </c>
      <c r="I37" s="161">
        <f aca="true" t="shared" si="3" ref="I37:I68">H37*J37</f>
        <v>50592.240000000005</v>
      </c>
      <c r="J37" s="157">
        <v>12</v>
      </c>
      <c r="K37" s="161">
        <f t="shared" si="1"/>
        <v>6930.44383561644</v>
      </c>
      <c r="L37" s="161"/>
      <c r="M37" s="161">
        <f t="shared" si="2"/>
        <v>57522.683835616444</v>
      </c>
    </row>
    <row r="38" spans="1:13" ht="15">
      <c r="A38" s="156" t="s">
        <v>214</v>
      </c>
      <c r="B38" s="157" t="s">
        <v>24</v>
      </c>
      <c r="C38" s="158"/>
      <c r="D38" s="159">
        <v>40</v>
      </c>
      <c r="E38" s="159"/>
      <c r="F38" s="159" t="s">
        <v>20</v>
      </c>
      <c r="G38" s="159">
        <v>1</v>
      </c>
      <c r="H38" s="160">
        <v>7382.38</v>
      </c>
      <c r="I38" s="161">
        <f t="shared" si="3"/>
        <v>88588.56</v>
      </c>
      <c r="J38" s="157">
        <v>12</v>
      </c>
      <c r="K38" s="161">
        <f t="shared" si="1"/>
        <v>12135.419178082193</v>
      </c>
      <c r="L38" s="161"/>
      <c r="M38" s="161">
        <f t="shared" si="2"/>
        <v>100723.9791780822</v>
      </c>
    </row>
    <row r="39" spans="1:13" ht="15">
      <c r="A39" s="156" t="s">
        <v>214</v>
      </c>
      <c r="B39" s="157" t="s">
        <v>24</v>
      </c>
      <c r="C39" s="158"/>
      <c r="D39" s="159">
        <v>40</v>
      </c>
      <c r="E39" s="159"/>
      <c r="F39" s="159" t="s">
        <v>20</v>
      </c>
      <c r="G39" s="159">
        <v>1</v>
      </c>
      <c r="H39" s="160">
        <v>8954.22</v>
      </c>
      <c r="I39" s="161">
        <f t="shared" si="3"/>
        <v>107450.63999999998</v>
      </c>
      <c r="J39" s="157">
        <v>12</v>
      </c>
      <c r="K39" s="161">
        <f t="shared" si="1"/>
        <v>14719.265753424657</v>
      </c>
      <c r="L39" s="161"/>
      <c r="M39" s="161">
        <f t="shared" si="2"/>
        <v>122169.90575342464</v>
      </c>
    </row>
    <row r="40" spans="1:13" ht="15">
      <c r="A40" s="156" t="s">
        <v>214</v>
      </c>
      <c r="B40" s="157" t="s">
        <v>24</v>
      </c>
      <c r="C40" s="158"/>
      <c r="D40" s="159">
        <v>40</v>
      </c>
      <c r="E40" s="159"/>
      <c r="F40" s="159" t="s">
        <v>20</v>
      </c>
      <c r="G40" s="159">
        <v>1</v>
      </c>
      <c r="H40" s="160">
        <v>8555.14</v>
      </c>
      <c r="I40" s="161">
        <f t="shared" si="3"/>
        <v>102661.68</v>
      </c>
      <c r="J40" s="157">
        <v>12</v>
      </c>
      <c r="K40" s="161">
        <f t="shared" si="1"/>
        <v>14063.243835616438</v>
      </c>
      <c r="L40" s="161"/>
      <c r="M40" s="161">
        <f t="shared" si="2"/>
        <v>116724.92383561643</v>
      </c>
    </row>
    <row r="41" spans="1:13" ht="15">
      <c r="A41" s="156" t="s">
        <v>214</v>
      </c>
      <c r="B41" s="157" t="s">
        <v>24</v>
      </c>
      <c r="C41" s="158"/>
      <c r="D41" s="159">
        <v>40</v>
      </c>
      <c r="E41" s="159"/>
      <c r="F41" s="159" t="s">
        <v>20</v>
      </c>
      <c r="G41" s="159">
        <v>1</v>
      </c>
      <c r="H41" s="160">
        <v>1467.34</v>
      </c>
      <c r="I41" s="161">
        <f t="shared" si="3"/>
        <v>17608.079999999998</v>
      </c>
      <c r="J41" s="157">
        <v>12</v>
      </c>
      <c r="K41" s="161">
        <f t="shared" si="1"/>
        <v>2412.065753424657</v>
      </c>
      <c r="L41" s="161"/>
      <c r="M41" s="161">
        <f t="shared" si="2"/>
        <v>20020.145753424655</v>
      </c>
    </row>
    <row r="42" spans="1:13" ht="15">
      <c r="A42" s="156" t="s">
        <v>214</v>
      </c>
      <c r="B42" s="157" t="s">
        <v>24</v>
      </c>
      <c r="C42" s="158"/>
      <c r="D42" s="159">
        <v>40</v>
      </c>
      <c r="E42" s="159"/>
      <c r="F42" s="159" t="s">
        <v>20</v>
      </c>
      <c r="G42" s="159">
        <v>1</v>
      </c>
      <c r="H42" s="160">
        <f>6150*1.05</f>
        <v>6457.5</v>
      </c>
      <c r="I42" s="161">
        <f t="shared" si="3"/>
        <v>77490</v>
      </c>
      <c r="J42" s="157">
        <v>12</v>
      </c>
      <c r="K42" s="161">
        <f t="shared" si="1"/>
        <v>10615.068493150684</v>
      </c>
      <c r="L42" s="161"/>
      <c r="M42" s="161">
        <f t="shared" si="2"/>
        <v>88105.06849315068</v>
      </c>
    </row>
    <row r="43" spans="1:13" ht="15">
      <c r="A43" s="156" t="s">
        <v>214</v>
      </c>
      <c r="B43" s="157" t="s">
        <v>24</v>
      </c>
      <c r="C43" s="158"/>
      <c r="D43" s="159">
        <v>40</v>
      </c>
      <c r="E43" s="159"/>
      <c r="F43" s="159" t="s">
        <v>20</v>
      </c>
      <c r="G43" s="159">
        <v>1</v>
      </c>
      <c r="H43" s="160">
        <v>7604.02</v>
      </c>
      <c r="I43" s="161">
        <f t="shared" si="3"/>
        <v>91248.24</v>
      </c>
      <c r="J43" s="157">
        <v>12</v>
      </c>
      <c r="K43" s="161">
        <f t="shared" si="1"/>
        <v>12499.758904109589</v>
      </c>
      <c r="L43" s="161"/>
      <c r="M43" s="161">
        <f t="shared" si="2"/>
        <v>103747.9989041096</v>
      </c>
    </row>
    <row r="44" spans="1:13" ht="15">
      <c r="A44" s="156" t="s">
        <v>214</v>
      </c>
      <c r="B44" s="157" t="s">
        <v>24</v>
      </c>
      <c r="C44" s="158"/>
      <c r="D44" s="159">
        <v>40</v>
      </c>
      <c r="E44" s="159"/>
      <c r="F44" s="159" t="s">
        <v>20</v>
      </c>
      <c r="G44" s="159">
        <v>1</v>
      </c>
      <c r="H44" s="160">
        <v>6234.46</v>
      </c>
      <c r="I44" s="161">
        <f t="shared" si="3"/>
        <v>74813.52</v>
      </c>
      <c r="J44" s="157">
        <v>12</v>
      </c>
      <c r="K44" s="161">
        <f t="shared" si="1"/>
        <v>10248.427397260275</v>
      </c>
      <c r="L44" s="161"/>
      <c r="M44" s="161">
        <f t="shared" si="2"/>
        <v>85061.94739726029</v>
      </c>
    </row>
    <row r="45" spans="1:13" ht="15">
      <c r="A45" s="156" t="s">
        <v>214</v>
      </c>
      <c r="B45" s="157" t="s">
        <v>24</v>
      </c>
      <c r="C45" s="158"/>
      <c r="D45" s="159">
        <v>40</v>
      </c>
      <c r="E45" s="159"/>
      <c r="F45" s="159" t="s">
        <v>20</v>
      </c>
      <c r="G45" s="159">
        <v>1</v>
      </c>
      <c r="H45" s="160">
        <v>5535.26</v>
      </c>
      <c r="I45" s="161">
        <f t="shared" si="3"/>
        <v>66423.12</v>
      </c>
      <c r="J45" s="157">
        <v>12</v>
      </c>
      <c r="K45" s="161">
        <f t="shared" si="1"/>
        <v>9099.057534246575</v>
      </c>
      <c r="L45" s="161"/>
      <c r="M45" s="161">
        <f t="shared" si="2"/>
        <v>75522.17753424657</v>
      </c>
    </row>
    <row r="46" spans="1:13" ht="15">
      <c r="A46" s="156" t="s">
        <v>214</v>
      </c>
      <c r="B46" s="157" t="s">
        <v>24</v>
      </c>
      <c r="C46" s="158"/>
      <c r="D46" s="159">
        <v>40</v>
      </c>
      <c r="E46" s="159"/>
      <c r="F46" s="159" t="s">
        <v>20</v>
      </c>
      <c r="G46" s="159">
        <v>1</v>
      </c>
      <c r="H46" s="160">
        <v>5914.78</v>
      </c>
      <c r="I46" s="161">
        <f t="shared" si="3"/>
        <v>70977.36</v>
      </c>
      <c r="J46" s="157">
        <v>12</v>
      </c>
      <c r="K46" s="161">
        <f t="shared" si="1"/>
        <v>9722.92602739726</v>
      </c>
      <c r="L46" s="161"/>
      <c r="M46" s="161">
        <f t="shared" si="2"/>
        <v>80700.28602739726</v>
      </c>
    </row>
    <row r="47" spans="1:13" ht="15">
      <c r="A47" s="156" t="s">
        <v>214</v>
      </c>
      <c r="B47" s="157" t="s">
        <v>24</v>
      </c>
      <c r="C47" s="158"/>
      <c r="D47" s="159">
        <v>40</v>
      </c>
      <c r="E47" s="159"/>
      <c r="F47" s="159" t="s">
        <v>20</v>
      </c>
      <c r="G47" s="159">
        <v>1</v>
      </c>
      <c r="H47" s="160">
        <v>5382.94</v>
      </c>
      <c r="I47" s="161">
        <f t="shared" si="3"/>
        <v>64595.28</v>
      </c>
      <c r="J47" s="157">
        <v>12</v>
      </c>
      <c r="K47" s="161">
        <f t="shared" si="1"/>
        <v>8848.668493150684</v>
      </c>
      <c r="L47" s="161"/>
      <c r="M47" s="161">
        <f t="shared" si="2"/>
        <v>73443.94849315069</v>
      </c>
    </row>
    <row r="48" spans="1:13" ht="15">
      <c r="A48" s="156" t="s">
        <v>214</v>
      </c>
      <c r="B48" s="157" t="s">
        <v>24</v>
      </c>
      <c r="C48" s="158"/>
      <c r="D48" s="159">
        <v>40</v>
      </c>
      <c r="E48" s="159"/>
      <c r="F48" s="159" t="s">
        <v>20</v>
      </c>
      <c r="G48" s="159">
        <v>1</v>
      </c>
      <c r="H48" s="160">
        <v>7175.78</v>
      </c>
      <c r="I48" s="161">
        <f t="shared" si="3"/>
        <v>86109.36</v>
      </c>
      <c r="J48" s="157">
        <v>12</v>
      </c>
      <c r="K48" s="161">
        <f t="shared" si="1"/>
        <v>11795.802739726028</v>
      </c>
      <c r="L48" s="161"/>
      <c r="M48" s="161">
        <f t="shared" si="2"/>
        <v>97905.16273972603</v>
      </c>
    </row>
    <row r="49" spans="1:13" ht="15">
      <c r="A49" s="156" t="s">
        <v>214</v>
      </c>
      <c r="B49" s="157" t="s">
        <v>24</v>
      </c>
      <c r="C49" s="158"/>
      <c r="D49" s="159">
        <v>40</v>
      </c>
      <c r="E49" s="159"/>
      <c r="F49" s="159" t="s">
        <v>20</v>
      </c>
      <c r="G49" s="159">
        <v>1</v>
      </c>
      <c r="H49" s="160">
        <v>10175.28</v>
      </c>
      <c r="I49" s="161">
        <f t="shared" si="3"/>
        <v>122103.36000000002</v>
      </c>
      <c r="J49" s="157">
        <v>12</v>
      </c>
      <c r="K49" s="161">
        <f t="shared" si="1"/>
        <v>16726.48767123288</v>
      </c>
      <c r="L49" s="161"/>
      <c r="M49" s="161">
        <f t="shared" si="2"/>
        <v>138829.84767123288</v>
      </c>
    </row>
    <row r="50" spans="1:13" ht="15">
      <c r="A50" s="156" t="s">
        <v>214</v>
      </c>
      <c r="B50" s="157" t="s">
        <v>24</v>
      </c>
      <c r="C50" s="158"/>
      <c r="D50" s="159">
        <v>40</v>
      </c>
      <c r="E50" s="159"/>
      <c r="F50" s="159" t="s">
        <v>20</v>
      </c>
      <c r="G50" s="159">
        <v>1</v>
      </c>
      <c r="H50" s="160">
        <v>4490.64</v>
      </c>
      <c r="I50" s="161">
        <f t="shared" si="3"/>
        <v>53887.68000000001</v>
      </c>
      <c r="J50" s="157">
        <v>12</v>
      </c>
      <c r="K50" s="161">
        <f t="shared" si="1"/>
        <v>7381.873972602741</v>
      </c>
      <c r="L50" s="161"/>
      <c r="M50" s="161">
        <f t="shared" si="2"/>
        <v>61269.55397260275</v>
      </c>
    </row>
    <row r="51" spans="1:13" ht="15">
      <c r="A51" s="156" t="s">
        <v>214</v>
      </c>
      <c r="B51" s="157" t="s">
        <v>24</v>
      </c>
      <c r="C51" s="158"/>
      <c r="D51" s="159">
        <v>40</v>
      </c>
      <c r="E51" s="159"/>
      <c r="F51" s="159" t="s">
        <v>20</v>
      </c>
      <c r="G51" s="159">
        <v>1</v>
      </c>
      <c r="H51" s="160">
        <v>3613.66</v>
      </c>
      <c r="I51" s="161">
        <f t="shared" si="3"/>
        <v>43363.92</v>
      </c>
      <c r="J51" s="157">
        <v>12</v>
      </c>
      <c r="K51" s="161">
        <f t="shared" si="1"/>
        <v>5940.26301369863</v>
      </c>
      <c r="L51" s="161"/>
      <c r="M51" s="161">
        <f t="shared" si="2"/>
        <v>49304.183013698625</v>
      </c>
    </row>
    <row r="52" spans="1:13" ht="15">
      <c r="A52" s="156" t="s">
        <v>214</v>
      </c>
      <c r="B52" s="157" t="s">
        <v>24</v>
      </c>
      <c r="C52" s="158"/>
      <c r="D52" s="159">
        <v>40</v>
      </c>
      <c r="E52" s="159"/>
      <c r="F52" s="159" t="s">
        <v>20</v>
      </c>
      <c r="G52" s="159">
        <v>1</v>
      </c>
      <c r="H52" s="160">
        <v>2248.52</v>
      </c>
      <c r="I52" s="161">
        <f t="shared" si="3"/>
        <v>26982.239999999998</v>
      </c>
      <c r="J52" s="157">
        <v>12</v>
      </c>
      <c r="K52" s="161">
        <f t="shared" si="1"/>
        <v>3696.197260273972</v>
      </c>
      <c r="L52" s="161"/>
      <c r="M52" s="161">
        <f t="shared" si="2"/>
        <v>30678.43726027397</v>
      </c>
    </row>
    <row r="53" spans="1:13" ht="15">
      <c r="A53" s="156" t="s">
        <v>214</v>
      </c>
      <c r="B53" s="157" t="s">
        <v>24</v>
      </c>
      <c r="C53" s="158"/>
      <c r="D53" s="159">
        <v>40</v>
      </c>
      <c r="E53" s="159"/>
      <c r="F53" s="159" t="s">
        <v>20</v>
      </c>
      <c r="G53" s="159">
        <v>1</v>
      </c>
      <c r="H53" s="160">
        <v>1455.48</v>
      </c>
      <c r="I53" s="161">
        <f t="shared" si="3"/>
        <v>17465.760000000002</v>
      </c>
      <c r="J53" s="157">
        <v>12</v>
      </c>
      <c r="K53" s="161">
        <f t="shared" si="1"/>
        <v>2392.569863013699</v>
      </c>
      <c r="L53" s="161"/>
      <c r="M53" s="161">
        <f t="shared" si="2"/>
        <v>19858.3298630137</v>
      </c>
    </row>
    <row r="54" spans="1:13" ht="15">
      <c r="A54" s="156" t="s">
        <v>214</v>
      </c>
      <c r="B54" s="157" t="s">
        <v>24</v>
      </c>
      <c r="C54" s="158"/>
      <c r="D54" s="159">
        <v>40</v>
      </c>
      <c r="E54" s="159"/>
      <c r="F54" s="159" t="s">
        <v>20</v>
      </c>
      <c r="G54" s="159">
        <v>1</v>
      </c>
      <c r="H54" s="160">
        <f>19800*1.05</f>
        <v>20790</v>
      </c>
      <c r="I54" s="161">
        <f t="shared" si="3"/>
        <v>249480</v>
      </c>
      <c r="J54" s="157">
        <v>12</v>
      </c>
      <c r="K54" s="161">
        <f t="shared" si="1"/>
        <v>34175.34246575343</v>
      </c>
      <c r="L54" s="161"/>
      <c r="M54" s="161">
        <f t="shared" si="2"/>
        <v>283655.34246575343</v>
      </c>
    </row>
    <row r="55" spans="1:13" ht="15">
      <c r="A55" s="156" t="s">
        <v>214</v>
      </c>
      <c r="B55" s="157" t="s">
        <v>24</v>
      </c>
      <c r="C55" s="158"/>
      <c r="D55" s="159">
        <v>40</v>
      </c>
      <c r="E55" s="159"/>
      <c r="F55" s="159" t="s">
        <v>20</v>
      </c>
      <c r="G55" s="159">
        <v>1</v>
      </c>
      <c r="H55" s="160">
        <v>7335.54</v>
      </c>
      <c r="I55" s="161">
        <f t="shared" si="3"/>
        <v>88026.48</v>
      </c>
      <c r="J55" s="157">
        <v>12</v>
      </c>
      <c r="K55" s="161">
        <f t="shared" si="1"/>
        <v>12058.421917808218</v>
      </c>
      <c r="L55" s="161"/>
      <c r="M55" s="161">
        <f t="shared" si="2"/>
        <v>100084.90191780821</v>
      </c>
    </row>
    <row r="56" spans="1:13" ht="15">
      <c r="A56" s="156" t="s">
        <v>214</v>
      </c>
      <c r="B56" s="157" t="s">
        <v>24</v>
      </c>
      <c r="C56" s="158"/>
      <c r="D56" s="159">
        <v>40</v>
      </c>
      <c r="E56" s="159"/>
      <c r="F56" s="159" t="s">
        <v>20</v>
      </c>
      <c r="G56" s="159">
        <v>1</v>
      </c>
      <c r="H56" s="160">
        <f>11885*1.05</f>
        <v>12479.25</v>
      </c>
      <c r="I56" s="161">
        <f t="shared" si="3"/>
        <v>149751</v>
      </c>
      <c r="J56" s="157">
        <v>12</v>
      </c>
      <c r="K56" s="161">
        <f t="shared" si="1"/>
        <v>20513.835616438355</v>
      </c>
      <c r="L56" s="161"/>
      <c r="M56" s="161">
        <f t="shared" si="2"/>
        <v>170264.83561643836</v>
      </c>
    </row>
    <row r="57" spans="1:13" ht="15">
      <c r="A57" s="156" t="s">
        <v>214</v>
      </c>
      <c r="B57" s="157" t="s">
        <v>24</v>
      </c>
      <c r="C57" s="158"/>
      <c r="D57" s="159">
        <v>40</v>
      </c>
      <c r="E57" s="159"/>
      <c r="F57" s="159" t="s">
        <v>20</v>
      </c>
      <c r="G57" s="159">
        <v>1</v>
      </c>
      <c r="H57" s="160">
        <f>10885*1.05</f>
        <v>11429.25</v>
      </c>
      <c r="I57" s="161">
        <f t="shared" si="3"/>
        <v>137151</v>
      </c>
      <c r="J57" s="157">
        <v>12</v>
      </c>
      <c r="K57" s="161">
        <f t="shared" si="1"/>
        <v>18787.808219178085</v>
      </c>
      <c r="L57" s="161"/>
      <c r="M57" s="161">
        <f t="shared" si="2"/>
        <v>155938.80821917808</v>
      </c>
    </row>
    <row r="58" spans="1:13" ht="15">
      <c r="A58" s="156" t="s">
        <v>214</v>
      </c>
      <c r="B58" s="157" t="s">
        <v>24</v>
      </c>
      <c r="C58" s="158"/>
      <c r="D58" s="159">
        <v>40</v>
      </c>
      <c r="E58" s="159"/>
      <c r="F58" s="159" t="s">
        <v>20</v>
      </c>
      <c r="G58" s="159">
        <v>1</v>
      </c>
      <c r="H58" s="160">
        <v>5982.7</v>
      </c>
      <c r="I58" s="161">
        <f t="shared" si="3"/>
        <v>71792.4</v>
      </c>
      <c r="J58" s="157">
        <v>12</v>
      </c>
      <c r="K58" s="161">
        <f t="shared" si="1"/>
        <v>9834.575342465752</v>
      </c>
      <c r="L58" s="161"/>
      <c r="M58" s="161">
        <f t="shared" si="2"/>
        <v>81626.97534246574</v>
      </c>
    </row>
    <row r="59" spans="1:13" ht="15">
      <c r="A59" s="156" t="s">
        <v>214</v>
      </c>
      <c r="B59" s="157" t="s">
        <v>24</v>
      </c>
      <c r="C59" s="158"/>
      <c r="D59" s="159">
        <v>40</v>
      </c>
      <c r="E59" s="159"/>
      <c r="F59" s="159" t="s">
        <v>20</v>
      </c>
      <c r="G59" s="159">
        <v>1</v>
      </c>
      <c r="H59" s="160">
        <v>3725.84</v>
      </c>
      <c r="I59" s="161">
        <f t="shared" si="3"/>
        <v>44710.08</v>
      </c>
      <c r="J59" s="157">
        <v>12</v>
      </c>
      <c r="K59" s="161">
        <f t="shared" si="1"/>
        <v>6124.668493150685</v>
      </c>
      <c r="L59" s="161"/>
      <c r="M59" s="161">
        <f t="shared" si="2"/>
        <v>50834.748493150684</v>
      </c>
    </row>
    <row r="60" spans="1:13" ht="15">
      <c r="A60" s="156" t="s">
        <v>214</v>
      </c>
      <c r="B60" s="157" t="s">
        <v>24</v>
      </c>
      <c r="C60" s="158"/>
      <c r="D60" s="159">
        <v>40</v>
      </c>
      <c r="E60" s="159"/>
      <c r="F60" s="159" t="s">
        <v>20</v>
      </c>
      <c r="G60" s="159">
        <v>1</v>
      </c>
      <c r="H60" s="160">
        <v>2533.48</v>
      </c>
      <c r="I60" s="161">
        <f t="shared" si="3"/>
        <v>30401.760000000002</v>
      </c>
      <c r="J60" s="157">
        <v>12</v>
      </c>
      <c r="K60" s="161">
        <f t="shared" si="1"/>
        <v>4164.624657534247</v>
      </c>
      <c r="L60" s="161"/>
      <c r="M60" s="161">
        <f t="shared" si="2"/>
        <v>34566.38465753425</v>
      </c>
    </row>
    <row r="61" spans="1:13" ht="15">
      <c r="A61" s="156" t="s">
        <v>214</v>
      </c>
      <c r="B61" s="157" t="s">
        <v>24</v>
      </c>
      <c r="C61" s="158"/>
      <c r="D61" s="159">
        <v>40</v>
      </c>
      <c r="E61" s="159"/>
      <c r="F61" s="159" t="s">
        <v>20</v>
      </c>
      <c r="G61" s="159">
        <v>1</v>
      </c>
      <c r="H61" s="160">
        <v>7421.82</v>
      </c>
      <c r="I61" s="161">
        <f t="shared" si="3"/>
        <v>89061.84</v>
      </c>
      <c r="J61" s="157">
        <v>12</v>
      </c>
      <c r="K61" s="161">
        <f t="shared" si="1"/>
        <v>12200.252054794519</v>
      </c>
      <c r="L61" s="161"/>
      <c r="M61" s="161">
        <f t="shared" si="2"/>
        <v>101262.09205479451</v>
      </c>
    </row>
    <row r="62" spans="1:13" ht="15">
      <c r="A62" s="156" t="s">
        <v>214</v>
      </c>
      <c r="B62" s="157" t="s">
        <v>24</v>
      </c>
      <c r="C62" s="158"/>
      <c r="D62" s="159">
        <v>40</v>
      </c>
      <c r="E62" s="159"/>
      <c r="F62" s="159" t="s">
        <v>20</v>
      </c>
      <c r="G62" s="159">
        <v>1</v>
      </c>
      <c r="H62" s="160">
        <v>8954.02</v>
      </c>
      <c r="I62" s="161">
        <f t="shared" si="3"/>
        <v>107448.24</v>
      </c>
      <c r="J62" s="157">
        <v>12</v>
      </c>
      <c r="K62" s="161">
        <f t="shared" si="1"/>
        <v>14718.936986301369</v>
      </c>
      <c r="L62" s="161"/>
      <c r="M62" s="161">
        <f t="shared" si="2"/>
        <v>122167.17698630138</v>
      </c>
    </row>
    <row r="63" spans="1:13" ht="15">
      <c r="A63" s="156" t="s">
        <v>214</v>
      </c>
      <c r="B63" s="157" t="s">
        <v>24</v>
      </c>
      <c r="C63" s="158"/>
      <c r="D63" s="159">
        <v>40</v>
      </c>
      <c r="E63" s="159"/>
      <c r="F63" s="159" t="s">
        <v>20</v>
      </c>
      <c r="G63" s="159">
        <v>1</v>
      </c>
      <c r="H63" s="160">
        <v>5836.98</v>
      </c>
      <c r="I63" s="161">
        <f t="shared" si="3"/>
        <v>70043.76</v>
      </c>
      <c r="J63" s="157">
        <v>12</v>
      </c>
      <c r="K63" s="161">
        <f t="shared" si="1"/>
        <v>9595.035616438356</v>
      </c>
      <c r="L63" s="161"/>
      <c r="M63" s="161">
        <f t="shared" si="2"/>
        <v>79638.79561643835</v>
      </c>
    </row>
    <row r="64" spans="1:13" ht="15">
      <c r="A64" s="156" t="s">
        <v>214</v>
      </c>
      <c r="B64" s="157" t="s">
        <v>24</v>
      </c>
      <c r="C64" s="158"/>
      <c r="D64" s="159">
        <v>40</v>
      </c>
      <c r="E64" s="159"/>
      <c r="F64" s="159" t="s">
        <v>20</v>
      </c>
      <c r="G64" s="159">
        <v>1</v>
      </c>
      <c r="H64" s="160">
        <f>5560*1.05</f>
        <v>5838</v>
      </c>
      <c r="I64" s="161">
        <f t="shared" si="3"/>
        <v>35028</v>
      </c>
      <c r="J64" s="157">
        <v>6</v>
      </c>
      <c r="K64" s="161">
        <f aca="true" t="shared" si="4" ref="K64:K72">+I64/365*50</f>
        <v>4798.356164383561</v>
      </c>
      <c r="L64" s="161"/>
      <c r="M64" s="161">
        <f aca="true" t="shared" si="5" ref="M64:M72">+I64+K64</f>
        <v>39826.356164383564</v>
      </c>
    </row>
    <row r="65" spans="1:13" ht="15">
      <c r="A65" s="156" t="s">
        <v>214</v>
      </c>
      <c r="B65" s="157" t="s">
        <v>24</v>
      </c>
      <c r="C65" s="158"/>
      <c r="D65" s="159">
        <v>40</v>
      </c>
      <c r="E65" s="159"/>
      <c r="F65" s="159" t="s">
        <v>20</v>
      </c>
      <c r="G65" s="159">
        <v>1</v>
      </c>
      <c r="H65" s="160">
        <v>4258.12</v>
      </c>
      <c r="I65" s="161">
        <f t="shared" si="3"/>
        <v>51097.44</v>
      </c>
      <c r="J65" s="157">
        <v>12</v>
      </c>
      <c r="K65" s="161">
        <f t="shared" si="4"/>
        <v>6999.649315068494</v>
      </c>
      <c r="L65" s="161"/>
      <c r="M65" s="161">
        <f t="shared" si="5"/>
        <v>58097.08931506849</v>
      </c>
    </row>
    <row r="66" spans="1:13" ht="15">
      <c r="A66" s="156" t="s">
        <v>214</v>
      </c>
      <c r="B66" s="157" t="s">
        <v>24</v>
      </c>
      <c r="C66" s="158"/>
      <c r="D66" s="159">
        <v>40</v>
      </c>
      <c r="E66" s="159"/>
      <c r="F66" s="159" t="s">
        <v>20</v>
      </c>
      <c r="G66" s="159">
        <v>1</v>
      </c>
      <c r="H66" s="160">
        <v>8788.36</v>
      </c>
      <c r="I66" s="161">
        <f t="shared" si="3"/>
        <v>105460.32</v>
      </c>
      <c r="J66" s="157">
        <v>12</v>
      </c>
      <c r="K66" s="161">
        <f t="shared" si="4"/>
        <v>14446.619178082194</v>
      </c>
      <c r="L66" s="161"/>
      <c r="M66" s="161">
        <f t="shared" si="5"/>
        <v>119906.9391780822</v>
      </c>
    </row>
    <row r="67" spans="1:13" ht="15">
      <c r="A67" s="156" t="s">
        <v>214</v>
      </c>
      <c r="B67" s="157" t="s">
        <v>24</v>
      </c>
      <c r="C67" s="158"/>
      <c r="D67" s="159">
        <v>40</v>
      </c>
      <c r="E67" s="159"/>
      <c r="F67" s="159" t="s">
        <v>20</v>
      </c>
      <c r="G67" s="159">
        <v>1</v>
      </c>
      <c r="H67" s="160">
        <v>9228</v>
      </c>
      <c r="I67" s="161">
        <f t="shared" si="3"/>
        <v>110736</v>
      </c>
      <c r="J67" s="157">
        <v>12</v>
      </c>
      <c r="K67" s="161">
        <f t="shared" si="4"/>
        <v>15169.315068493152</v>
      </c>
      <c r="L67" s="161"/>
      <c r="M67" s="161">
        <f t="shared" si="5"/>
        <v>125905.31506849315</v>
      </c>
    </row>
    <row r="68" spans="1:13" ht="15">
      <c r="A68" s="156" t="s">
        <v>214</v>
      </c>
      <c r="B68" s="157" t="s">
        <v>24</v>
      </c>
      <c r="C68" s="158"/>
      <c r="D68" s="159">
        <v>40</v>
      </c>
      <c r="E68" s="159"/>
      <c r="F68" s="159" t="s">
        <v>20</v>
      </c>
      <c r="G68" s="159">
        <v>1</v>
      </c>
      <c r="H68" s="160">
        <v>2035.7</v>
      </c>
      <c r="I68" s="161">
        <f t="shared" si="3"/>
        <v>24428.4</v>
      </c>
      <c r="J68" s="157">
        <v>12</v>
      </c>
      <c r="K68" s="161">
        <f t="shared" si="4"/>
        <v>3346.356164383562</v>
      </c>
      <c r="L68" s="161"/>
      <c r="M68" s="161">
        <f t="shared" si="5"/>
        <v>27774.756164383565</v>
      </c>
    </row>
    <row r="69" spans="1:13" ht="15">
      <c r="A69" s="156" t="s">
        <v>214</v>
      </c>
      <c r="B69" s="157" t="s">
        <v>24</v>
      </c>
      <c r="C69" s="158"/>
      <c r="D69" s="159">
        <v>40</v>
      </c>
      <c r="E69" s="159"/>
      <c r="F69" s="159" t="s">
        <v>20</v>
      </c>
      <c r="G69" s="159">
        <v>1</v>
      </c>
      <c r="H69" s="160">
        <f>7910*1.05</f>
        <v>8305.5</v>
      </c>
      <c r="I69" s="161">
        <f>H69*J69</f>
        <v>99666</v>
      </c>
      <c r="J69" s="157">
        <v>12</v>
      </c>
      <c r="K69" s="161">
        <f t="shared" si="4"/>
        <v>13652.876712328767</v>
      </c>
      <c r="L69" s="161"/>
      <c r="M69" s="161">
        <f t="shared" si="5"/>
        <v>113318.87671232877</v>
      </c>
    </row>
    <row r="70" spans="1:13" ht="15">
      <c r="A70" s="156" t="s">
        <v>214</v>
      </c>
      <c r="B70" s="157" t="s">
        <v>24</v>
      </c>
      <c r="C70" s="158"/>
      <c r="D70" s="159">
        <v>40</v>
      </c>
      <c r="E70" s="159"/>
      <c r="F70" s="159" t="s">
        <v>20</v>
      </c>
      <c r="G70" s="159">
        <v>1</v>
      </c>
      <c r="H70" s="160">
        <v>5059.2</v>
      </c>
      <c r="I70" s="161">
        <f>H70*J70</f>
        <v>60710.399999999994</v>
      </c>
      <c r="J70" s="157">
        <v>12</v>
      </c>
      <c r="K70" s="161">
        <f t="shared" si="4"/>
        <v>8316.493150684932</v>
      </c>
      <c r="L70" s="161"/>
      <c r="M70" s="161">
        <f t="shared" si="5"/>
        <v>69026.89315068492</v>
      </c>
    </row>
    <row r="71" spans="1:13" ht="15">
      <c r="A71" s="156" t="s">
        <v>214</v>
      </c>
      <c r="B71" s="157" t="s">
        <v>24</v>
      </c>
      <c r="C71" s="158"/>
      <c r="D71" s="159">
        <v>40</v>
      </c>
      <c r="E71" s="159"/>
      <c r="F71" s="159" t="s">
        <v>20</v>
      </c>
      <c r="G71" s="159">
        <v>1</v>
      </c>
      <c r="H71" s="160">
        <v>3944.98</v>
      </c>
      <c r="I71" s="161">
        <f>H71*J71</f>
        <v>47339.76</v>
      </c>
      <c r="J71" s="157">
        <v>12</v>
      </c>
      <c r="K71" s="161">
        <f>+I71/365*50</f>
        <v>6484.898630136986</v>
      </c>
      <c r="L71" s="161"/>
      <c r="M71" s="161">
        <f>+I71+K71</f>
        <v>53824.65863013699</v>
      </c>
    </row>
    <row r="72" spans="1:13" ht="15">
      <c r="A72" s="156" t="s">
        <v>214</v>
      </c>
      <c r="B72" s="157" t="s">
        <v>24</v>
      </c>
      <c r="C72" s="158"/>
      <c r="D72" s="159">
        <v>40</v>
      </c>
      <c r="E72" s="159"/>
      <c r="F72" s="159" t="s">
        <v>20</v>
      </c>
      <c r="G72" s="159">
        <v>1</v>
      </c>
      <c r="H72" s="160">
        <v>5383.38</v>
      </c>
      <c r="I72" s="161">
        <f>H72*J72</f>
        <v>64600.56</v>
      </c>
      <c r="J72" s="157">
        <v>12</v>
      </c>
      <c r="K72" s="161">
        <f t="shared" si="4"/>
        <v>8849.391780821918</v>
      </c>
      <c r="L72" s="161"/>
      <c r="M72" s="161">
        <f t="shared" si="5"/>
        <v>73449.95178082191</v>
      </c>
    </row>
    <row r="73" spans="1:13" ht="15.75" thickBot="1">
      <c r="A73" s="135"/>
      <c r="B73" s="136"/>
      <c r="C73" s="136"/>
      <c r="D73" s="137"/>
      <c r="E73" s="137"/>
      <c r="F73" s="137"/>
      <c r="G73" s="137"/>
      <c r="H73" s="138"/>
      <c r="I73" s="91" t="s">
        <v>91</v>
      </c>
      <c r="J73" s="136"/>
      <c r="K73" s="91"/>
      <c r="L73" s="138"/>
      <c r="M73" s="132"/>
    </row>
    <row r="74" spans="1:13" ht="15.75" thickBot="1">
      <c r="A74" s="6"/>
      <c r="B74" s="7"/>
      <c r="C74" s="7"/>
      <c r="D74" s="8" t="s">
        <v>43</v>
      </c>
      <c r="E74" s="9"/>
      <c r="F74" s="8"/>
      <c r="G74" s="8">
        <f>SUM(G5:G72)</f>
        <v>68</v>
      </c>
      <c r="H74" s="10">
        <f>SUM(H5:H73)</f>
        <v>432705.93000000005</v>
      </c>
      <c r="I74" s="10">
        <f>SUM(I5:I73)</f>
        <v>4979310.660000001</v>
      </c>
      <c r="J74" s="11"/>
      <c r="K74" s="10">
        <f>SUM(K5:K73)</f>
        <v>682097.3506849319</v>
      </c>
      <c r="L74" s="10"/>
      <c r="M74" s="10">
        <f>SUM(M5:M73)</f>
        <v>5661408.010684933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fitToHeight="0" fitToWidth="1" horizontalDpi="600" verticalDpi="600" orientation="landscape" paperSize="190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zoomScalePageLayoutView="0" workbookViewId="0" topLeftCell="A283">
      <selection activeCell="C6" sqref="C6:C297"/>
    </sheetView>
  </sheetViews>
  <sheetFormatPr defaultColWidth="11.421875" defaultRowHeight="15"/>
  <cols>
    <col min="1" max="1" width="38.421875" style="0" customWidth="1"/>
    <col min="2" max="2" width="22.7109375" style="0" customWidth="1"/>
    <col min="3" max="3" width="35.28125" style="0" customWidth="1"/>
    <col min="4" max="4" width="11.57421875" style="0" bestFit="1" customWidth="1"/>
    <col min="6" max="6" width="6.421875" style="0" customWidth="1"/>
    <col min="7" max="7" width="16.421875" style="0" customWidth="1"/>
    <col min="8" max="8" width="17.140625" style="0" customWidth="1"/>
    <col min="9" max="9" width="18.28125" style="0" customWidth="1"/>
    <col min="10" max="10" width="11.57421875" style="0" bestFit="1" customWidth="1"/>
    <col min="11" max="11" width="17.421875" style="0" customWidth="1"/>
    <col min="12" max="12" width="5.421875" style="0" customWidth="1"/>
    <col min="13" max="13" width="22.57421875" style="0" customWidth="1"/>
  </cols>
  <sheetData>
    <row r="1" spans="1:13" ht="18">
      <c r="A1" s="200" t="s">
        <v>248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2" spans="1:13" ht="18.75" thickBot="1">
      <c r="A2" s="203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</row>
    <row r="3" spans="1:13" ht="15.75" thickBot="1">
      <c r="A3" s="2"/>
      <c r="B3" s="2"/>
      <c r="C3" s="2"/>
      <c r="D3" s="3"/>
      <c r="E3" s="3"/>
      <c r="F3" s="3"/>
      <c r="G3" s="3"/>
      <c r="H3" s="2"/>
      <c r="I3" s="2"/>
      <c r="J3" s="3"/>
      <c r="K3" s="2"/>
      <c r="L3" s="2"/>
      <c r="M3" s="2"/>
    </row>
    <row r="4" spans="1:13" ht="64.5" thickBot="1">
      <c r="A4" s="51" t="s">
        <v>3</v>
      </c>
      <c r="B4" s="52" t="s">
        <v>4</v>
      </c>
      <c r="C4" s="52" t="s">
        <v>5</v>
      </c>
      <c r="D4" s="52" t="s">
        <v>6</v>
      </c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16" t="s">
        <v>13</v>
      </c>
      <c r="L4" s="16" t="s">
        <v>14</v>
      </c>
      <c r="M4" s="41" t="s">
        <v>15</v>
      </c>
    </row>
    <row r="5" spans="1:13" ht="30.75">
      <c r="A5" s="206" t="s">
        <v>129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8"/>
    </row>
    <row r="6" spans="1:13" ht="15">
      <c r="A6" s="18" t="s">
        <v>38</v>
      </c>
      <c r="B6" s="18" t="s">
        <v>155</v>
      </c>
      <c r="C6" s="18"/>
      <c r="D6" s="19">
        <v>40</v>
      </c>
      <c r="E6" s="19" t="s">
        <v>19</v>
      </c>
      <c r="F6" s="19" t="s">
        <v>20</v>
      </c>
      <c r="G6" s="19">
        <v>1</v>
      </c>
      <c r="H6" s="99">
        <f>20951.36*1.05</f>
        <v>21998.928</v>
      </c>
      <c r="I6" s="21">
        <f aca="true" t="shared" si="0" ref="I6:I69">+H6*J6</f>
        <v>263987.136</v>
      </c>
      <c r="J6" s="19">
        <v>12</v>
      </c>
      <c r="K6" s="21">
        <f aca="true" t="shared" si="1" ref="K6:K69">+I6/365*50</f>
        <v>36162.62136986301</v>
      </c>
      <c r="L6" s="21"/>
      <c r="M6" s="21">
        <f aca="true" t="shared" si="2" ref="M6:M69">+I6+K6</f>
        <v>300149.757369863</v>
      </c>
    </row>
    <row r="7" spans="1:13" ht="15">
      <c r="A7" s="18" t="s">
        <v>88</v>
      </c>
      <c r="B7" s="18" t="s">
        <v>155</v>
      </c>
      <c r="C7" s="18"/>
      <c r="D7" s="19">
        <v>40</v>
      </c>
      <c r="E7" s="19" t="s">
        <v>27</v>
      </c>
      <c r="F7" s="19" t="s">
        <v>20</v>
      </c>
      <c r="G7" s="19">
        <v>1</v>
      </c>
      <c r="H7" s="100">
        <v>19726</v>
      </c>
      <c r="I7" s="21">
        <f t="shared" si="0"/>
        <v>236712</v>
      </c>
      <c r="J7" s="19">
        <v>12</v>
      </c>
      <c r="K7" s="21">
        <f t="shared" si="1"/>
        <v>32426.301369863013</v>
      </c>
      <c r="L7" s="21"/>
      <c r="M7" s="21">
        <f t="shared" si="2"/>
        <v>269138.30136986304</v>
      </c>
    </row>
    <row r="8" spans="1:13" ht="15">
      <c r="A8" s="18" t="s">
        <v>100</v>
      </c>
      <c r="B8" s="18" t="s">
        <v>155</v>
      </c>
      <c r="C8" s="18"/>
      <c r="D8" s="19">
        <v>40</v>
      </c>
      <c r="E8" s="19" t="s">
        <v>27</v>
      </c>
      <c r="F8" s="19" t="s">
        <v>20</v>
      </c>
      <c r="G8" s="19">
        <v>1</v>
      </c>
      <c r="H8" s="100">
        <f>9392.69*1.05</f>
        <v>9862.3245</v>
      </c>
      <c r="I8" s="21">
        <f t="shared" si="0"/>
        <v>118347.894</v>
      </c>
      <c r="J8" s="19">
        <v>12</v>
      </c>
      <c r="K8" s="21">
        <f t="shared" si="1"/>
        <v>16212.040273972601</v>
      </c>
      <c r="L8" s="21"/>
      <c r="M8" s="21">
        <f t="shared" si="2"/>
        <v>134559.9342739726</v>
      </c>
    </row>
    <row r="9" spans="1:13" ht="15">
      <c r="A9" s="18" t="s">
        <v>112</v>
      </c>
      <c r="B9" s="18" t="s">
        <v>155</v>
      </c>
      <c r="C9" s="18"/>
      <c r="D9" s="19">
        <v>40</v>
      </c>
      <c r="E9" s="19" t="s">
        <v>27</v>
      </c>
      <c r="F9" s="19" t="s">
        <v>20</v>
      </c>
      <c r="G9" s="19">
        <v>1</v>
      </c>
      <c r="H9" s="100">
        <f>8277.07*1.05</f>
        <v>8690.9235</v>
      </c>
      <c r="I9" s="21">
        <f t="shared" si="0"/>
        <v>104291.08200000001</v>
      </c>
      <c r="J9" s="19">
        <v>12</v>
      </c>
      <c r="K9" s="21">
        <f t="shared" si="1"/>
        <v>14286.449589041098</v>
      </c>
      <c r="L9" s="21"/>
      <c r="M9" s="21">
        <f t="shared" si="2"/>
        <v>118577.53158904111</v>
      </c>
    </row>
    <row r="10" spans="1:13" ht="15">
      <c r="A10" s="18" t="s">
        <v>112</v>
      </c>
      <c r="B10" s="18" t="s">
        <v>155</v>
      </c>
      <c r="C10" s="18"/>
      <c r="D10" s="19">
        <v>40</v>
      </c>
      <c r="E10" s="19" t="s">
        <v>27</v>
      </c>
      <c r="F10" s="19" t="s">
        <v>20</v>
      </c>
      <c r="G10" s="19">
        <v>1</v>
      </c>
      <c r="H10" s="100">
        <v>8691.1</v>
      </c>
      <c r="I10" s="21">
        <f t="shared" si="0"/>
        <v>104293.20000000001</v>
      </c>
      <c r="J10" s="19">
        <v>12</v>
      </c>
      <c r="K10" s="21">
        <f t="shared" si="1"/>
        <v>14286.739726027397</v>
      </c>
      <c r="L10" s="21"/>
      <c r="M10" s="21">
        <f t="shared" si="2"/>
        <v>118579.93972602741</v>
      </c>
    </row>
    <row r="11" spans="1:13" ht="15">
      <c r="A11" s="18" t="s">
        <v>112</v>
      </c>
      <c r="B11" s="18" t="s">
        <v>155</v>
      </c>
      <c r="C11" s="18"/>
      <c r="D11" s="19">
        <v>40</v>
      </c>
      <c r="E11" s="19" t="s">
        <v>27</v>
      </c>
      <c r="F11" s="19" t="s">
        <v>20</v>
      </c>
      <c r="G11" s="19">
        <v>1</v>
      </c>
      <c r="H11" s="100">
        <f>7967.95*1.05</f>
        <v>8366.3475</v>
      </c>
      <c r="I11" s="21">
        <f t="shared" si="0"/>
        <v>100396.17</v>
      </c>
      <c r="J11" s="19">
        <v>12</v>
      </c>
      <c r="K11" s="21">
        <f t="shared" si="1"/>
        <v>13752.9</v>
      </c>
      <c r="L11" s="21"/>
      <c r="M11" s="21">
        <f t="shared" si="2"/>
        <v>114149.06999999999</v>
      </c>
    </row>
    <row r="12" spans="1:13" ht="15">
      <c r="A12" s="18" t="s">
        <v>148</v>
      </c>
      <c r="B12" s="18" t="s">
        <v>155</v>
      </c>
      <c r="C12" s="18"/>
      <c r="D12" s="19">
        <v>40</v>
      </c>
      <c r="E12" s="19" t="s">
        <v>27</v>
      </c>
      <c r="F12" s="19" t="s">
        <v>20</v>
      </c>
      <c r="G12" s="19">
        <v>1</v>
      </c>
      <c r="H12" s="100">
        <f>10304.87*1.05</f>
        <v>10820.113500000001</v>
      </c>
      <c r="I12" s="21">
        <f t="shared" si="0"/>
        <v>129841.36200000002</v>
      </c>
      <c r="J12" s="19">
        <v>12</v>
      </c>
      <c r="K12" s="21">
        <f t="shared" si="1"/>
        <v>17786.48794520548</v>
      </c>
      <c r="L12" s="21"/>
      <c r="M12" s="21">
        <f t="shared" si="2"/>
        <v>147627.8499452055</v>
      </c>
    </row>
    <row r="13" spans="1:13" ht="15">
      <c r="A13" s="18" t="s">
        <v>148</v>
      </c>
      <c r="B13" s="18" t="s">
        <v>155</v>
      </c>
      <c r="C13" s="18"/>
      <c r="D13" s="19">
        <v>40</v>
      </c>
      <c r="E13" s="19" t="s">
        <v>27</v>
      </c>
      <c r="F13" s="19" t="s">
        <v>20</v>
      </c>
      <c r="G13" s="19">
        <v>1</v>
      </c>
      <c r="H13" s="100">
        <f>10462.4*1.05</f>
        <v>10985.52</v>
      </c>
      <c r="I13" s="21">
        <f t="shared" si="0"/>
        <v>131826.24</v>
      </c>
      <c r="J13" s="19">
        <v>12</v>
      </c>
      <c r="K13" s="21">
        <f t="shared" si="1"/>
        <v>18058.38904109589</v>
      </c>
      <c r="L13" s="21"/>
      <c r="M13" s="21">
        <f t="shared" si="2"/>
        <v>149884.62904109588</v>
      </c>
    </row>
    <row r="14" spans="1:13" ht="15">
      <c r="A14" s="18" t="s">
        <v>148</v>
      </c>
      <c r="B14" s="18" t="s">
        <v>155</v>
      </c>
      <c r="C14" s="18"/>
      <c r="D14" s="19">
        <v>40</v>
      </c>
      <c r="E14" s="19" t="s">
        <v>27</v>
      </c>
      <c r="F14" s="19" t="s">
        <v>20</v>
      </c>
      <c r="G14" s="19">
        <v>1</v>
      </c>
      <c r="H14" s="100">
        <f>9462.39*1.05</f>
        <v>9935.5095</v>
      </c>
      <c r="I14" s="21">
        <f t="shared" si="0"/>
        <v>119226.114</v>
      </c>
      <c r="J14" s="19">
        <v>12</v>
      </c>
      <c r="K14" s="21">
        <f t="shared" si="1"/>
        <v>16332.344383561645</v>
      </c>
      <c r="L14" s="21"/>
      <c r="M14" s="21">
        <f t="shared" si="2"/>
        <v>135558.45838356164</v>
      </c>
    </row>
    <row r="15" spans="1:13" ht="15">
      <c r="A15" s="18" t="s">
        <v>148</v>
      </c>
      <c r="B15" s="18" t="s">
        <v>155</v>
      </c>
      <c r="C15" s="18"/>
      <c r="D15" s="19">
        <v>40</v>
      </c>
      <c r="E15" s="19" t="s">
        <v>27</v>
      </c>
      <c r="F15" s="19" t="s">
        <v>20</v>
      </c>
      <c r="G15" s="19">
        <v>1</v>
      </c>
      <c r="H15" s="100">
        <f>9231*1.05</f>
        <v>9692.550000000001</v>
      </c>
      <c r="I15" s="21">
        <f t="shared" si="0"/>
        <v>116310.6</v>
      </c>
      <c r="J15" s="19">
        <v>12</v>
      </c>
      <c r="K15" s="21">
        <f t="shared" si="1"/>
        <v>15932.958904109588</v>
      </c>
      <c r="L15" s="21"/>
      <c r="M15" s="21">
        <f t="shared" si="2"/>
        <v>132243.55890410958</v>
      </c>
    </row>
    <row r="16" spans="1:13" ht="15">
      <c r="A16" s="18" t="s">
        <v>201</v>
      </c>
      <c r="B16" s="18" t="s">
        <v>155</v>
      </c>
      <c r="C16" s="18"/>
      <c r="D16" s="19">
        <v>40</v>
      </c>
      <c r="E16" s="19" t="s">
        <v>27</v>
      </c>
      <c r="F16" s="19" t="s">
        <v>20</v>
      </c>
      <c r="G16" s="19">
        <v>1</v>
      </c>
      <c r="H16" s="100">
        <v>9691.56</v>
      </c>
      <c r="I16" s="21">
        <f t="shared" si="0"/>
        <v>116298.72</v>
      </c>
      <c r="J16" s="19">
        <v>12</v>
      </c>
      <c r="K16" s="21">
        <f t="shared" si="1"/>
        <v>15931.331506849316</v>
      </c>
      <c r="L16" s="21"/>
      <c r="M16" s="21">
        <f t="shared" si="2"/>
        <v>132230.05150684933</v>
      </c>
    </row>
    <row r="17" spans="1:13" ht="15">
      <c r="A17" s="18" t="s">
        <v>201</v>
      </c>
      <c r="B17" s="18" t="s">
        <v>155</v>
      </c>
      <c r="C17" s="18"/>
      <c r="D17" s="19">
        <v>40</v>
      </c>
      <c r="E17" s="19" t="s">
        <v>27</v>
      </c>
      <c r="F17" s="19" t="s">
        <v>20</v>
      </c>
      <c r="G17" s="19">
        <v>1</v>
      </c>
      <c r="H17" s="100">
        <f>7587.43*1.05</f>
        <v>7966.8015000000005</v>
      </c>
      <c r="I17" s="21">
        <f t="shared" si="0"/>
        <v>95601.618</v>
      </c>
      <c r="J17" s="19">
        <v>12</v>
      </c>
      <c r="K17" s="21">
        <f t="shared" si="1"/>
        <v>13096.11205479452</v>
      </c>
      <c r="L17" s="21"/>
      <c r="M17" s="21">
        <f t="shared" si="2"/>
        <v>108697.73005479452</v>
      </c>
    </row>
    <row r="18" spans="1:13" ht="15">
      <c r="A18" s="18" t="s">
        <v>201</v>
      </c>
      <c r="B18" s="18" t="s">
        <v>155</v>
      </c>
      <c r="C18" s="18"/>
      <c r="D18" s="19">
        <v>40</v>
      </c>
      <c r="E18" s="19" t="s">
        <v>27</v>
      </c>
      <c r="F18" s="19" t="s">
        <v>20</v>
      </c>
      <c r="G18" s="19">
        <v>1</v>
      </c>
      <c r="H18" s="100">
        <f>9466.52*1.05</f>
        <v>9939.846000000001</v>
      </c>
      <c r="I18" s="21">
        <f t="shared" si="0"/>
        <v>119278.15200000002</v>
      </c>
      <c r="J18" s="19">
        <v>12</v>
      </c>
      <c r="K18" s="21">
        <f t="shared" si="1"/>
        <v>16339.47287671233</v>
      </c>
      <c r="L18" s="21"/>
      <c r="M18" s="21">
        <f t="shared" si="2"/>
        <v>135617.62487671233</v>
      </c>
    </row>
    <row r="19" spans="1:13" ht="15">
      <c r="A19" s="18" t="s">
        <v>201</v>
      </c>
      <c r="B19" s="18" t="s">
        <v>155</v>
      </c>
      <c r="C19" s="18"/>
      <c r="D19" s="19">
        <v>40</v>
      </c>
      <c r="E19" s="19" t="s">
        <v>27</v>
      </c>
      <c r="F19" s="19" t="s">
        <v>20</v>
      </c>
      <c r="G19" s="19">
        <v>1</v>
      </c>
      <c r="H19" s="100">
        <f>7436.37*1.05</f>
        <v>7808.1885</v>
      </c>
      <c r="I19" s="21">
        <f t="shared" si="0"/>
        <v>93698.262</v>
      </c>
      <c r="J19" s="19">
        <v>12</v>
      </c>
      <c r="K19" s="21">
        <f t="shared" si="1"/>
        <v>12835.378356164383</v>
      </c>
      <c r="L19" s="21"/>
      <c r="M19" s="21">
        <f t="shared" si="2"/>
        <v>106533.64035616438</v>
      </c>
    </row>
    <row r="20" spans="1:13" ht="15">
      <c r="A20" s="18" t="s">
        <v>201</v>
      </c>
      <c r="B20" s="18" t="s">
        <v>155</v>
      </c>
      <c r="C20" s="18"/>
      <c r="D20" s="19">
        <v>40</v>
      </c>
      <c r="E20" s="19" t="s">
        <v>27</v>
      </c>
      <c r="F20" s="19" t="s">
        <v>20</v>
      </c>
      <c r="G20" s="19">
        <v>1</v>
      </c>
      <c r="H20" s="100">
        <v>9562.74</v>
      </c>
      <c r="I20" s="21">
        <f t="shared" si="0"/>
        <v>114752.88</v>
      </c>
      <c r="J20" s="19">
        <v>12</v>
      </c>
      <c r="K20" s="21">
        <f t="shared" si="1"/>
        <v>15719.572602739725</v>
      </c>
      <c r="L20" s="21"/>
      <c r="M20" s="21">
        <f t="shared" si="2"/>
        <v>130472.45260273974</v>
      </c>
    </row>
    <row r="21" spans="1:13" ht="15">
      <c r="A21" s="18" t="s">
        <v>201</v>
      </c>
      <c r="B21" s="18" t="s">
        <v>155</v>
      </c>
      <c r="C21" s="18"/>
      <c r="D21" s="19">
        <v>40</v>
      </c>
      <c r="E21" s="19" t="s">
        <v>27</v>
      </c>
      <c r="F21" s="19" t="s">
        <v>20</v>
      </c>
      <c r="G21" s="19">
        <v>1</v>
      </c>
      <c r="H21" s="100">
        <v>8084.6</v>
      </c>
      <c r="I21" s="21">
        <f t="shared" si="0"/>
        <v>97015.20000000001</v>
      </c>
      <c r="J21" s="19">
        <v>12</v>
      </c>
      <c r="K21" s="21">
        <f t="shared" si="1"/>
        <v>13289.753424657536</v>
      </c>
      <c r="L21" s="21"/>
      <c r="M21" s="21">
        <f t="shared" si="2"/>
        <v>110304.95342465755</v>
      </c>
    </row>
    <row r="22" spans="1:13" ht="15">
      <c r="A22" s="18" t="s">
        <v>105</v>
      </c>
      <c r="B22" s="18" t="s">
        <v>155</v>
      </c>
      <c r="C22" s="18"/>
      <c r="D22" s="19">
        <v>40</v>
      </c>
      <c r="E22" s="19" t="s">
        <v>27</v>
      </c>
      <c r="F22" s="19" t="s">
        <v>20</v>
      </c>
      <c r="G22" s="19">
        <v>1</v>
      </c>
      <c r="H22" s="100">
        <v>9990</v>
      </c>
      <c r="I22" s="21">
        <f t="shared" si="0"/>
        <v>119880</v>
      </c>
      <c r="J22" s="19">
        <v>12</v>
      </c>
      <c r="K22" s="21">
        <f t="shared" si="1"/>
        <v>16421.91780821918</v>
      </c>
      <c r="L22" s="21"/>
      <c r="M22" s="21">
        <f t="shared" si="2"/>
        <v>136301.91780821918</v>
      </c>
    </row>
    <row r="23" spans="1:13" ht="15">
      <c r="A23" s="18" t="s">
        <v>157</v>
      </c>
      <c r="B23" s="18" t="s">
        <v>155</v>
      </c>
      <c r="C23" s="18"/>
      <c r="D23" s="19">
        <v>40</v>
      </c>
      <c r="E23" s="19" t="s">
        <v>27</v>
      </c>
      <c r="F23" s="19" t="s">
        <v>20</v>
      </c>
      <c r="G23" s="19">
        <v>1</v>
      </c>
      <c r="H23" s="100">
        <f>7003.75*1.05</f>
        <v>7353.9375</v>
      </c>
      <c r="I23" s="21">
        <f t="shared" si="0"/>
        <v>88247.25</v>
      </c>
      <c r="J23" s="19">
        <v>12</v>
      </c>
      <c r="K23" s="21">
        <f t="shared" si="1"/>
        <v>12088.664383561643</v>
      </c>
      <c r="L23" s="21"/>
      <c r="M23" s="21">
        <f t="shared" si="2"/>
        <v>100335.91438356164</v>
      </c>
    </row>
    <row r="24" spans="1:13" ht="15">
      <c r="A24" s="18" t="s">
        <v>156</v>
      </c>
      <c r="B24" s="18" t="s">
        <v>155</v>
      </c>
      <c r="C24" s="18"/>
      <c r="D24" s="19">
        <v>40</v>
      </c>
      <c r="E24" s="19" t="s">
        <v>27</v>
      </c>
      <c r="F24" s="19" t="s">
        <v>20</v>
      </c>
      <c r="G24" s="19">
        <v>1</v>
      </c>
      <c r="H24" s="100">
        <f>11556.3*1.05</f>
        <v>12134.115</v>
      </c>
      <c r="I24" s="21">
        <f t="shared" si="0"/>
        <v>145609.38</v>
      </c>
      <c r="J24" s="19">
        <v>12</v>
      </c>
      <c r="K24" s="21">
        <f t="shared" si="1"/>
        <v>19946.490410958904</v>
      </c>
      <c r="L24" s="21"/>
      <c r="M24" s="21">
        <f t="shared" si="2"/>
        <v>165555.87041095892</v>
      </c>
    </row>
    <row r="25" spans="1:13" ht="15">
      <c r="A25" s="18" t="s">
        <v>88</v>
      </c>
      <c r="B25" s="18" t="s">
        <v>146</v>
      </c>
      <c r="C25" s="18"/>
      <c r="D25" s="19">
        <v>40</v>
      </c>
      <c r="E25" s="19" t="s">
        <v>19</v>
      </c>
      <c r="F25" s="19" t="s">
        <v>20</v>
      </c>
      <c r="G25" s="19">
        <v>1</v>
      </c>
      <c r="H25" s="100">
        <v>15861.24</v>
      </c>
      <c r="I25" s="21">
        <f t="shared" si="0"/>
        <v>190334.88</v>
      </c>
      <c r="J25" s="19">
        <v>12</v>
      </c>
      <c r="K25" s="21">
        <f t="shared" si="1"/>
        <v>26073.271232876716</v>
      </c>
      <c r="L25" s="21"/>
      <c r="M25" s="21">
        <f t="shared" si="2"/>
        <v>216408.15123287673</v>
      </c>
    </row>
    <row r="26" spans="1:13" ht="15">
      <c r="A26" s="18" t="s">
        <v>216</v>
      </c>
      <c r="B26" s="18" t="s">
        <v>146</v>
      </c>
      <c r="C26" s="18"/>
      <c r="D26" s="19">
        <v>40</v>
      </c>
      <c r="E26" s="19" t="s">
        <v>19</v>
      </c>
      <c r="F26" s="19" t="s">
        <v>20</v>
      </c>
      <c r="G26" s="19">
        <v>1</v>
      </c>
      <c r="H26" s="100">
        <f>13125*1.05</f>
        <v>13781.25</v>
      </c>
      <c r="I26" s="21">
        <f t="shared" si="0"/>
        <v>165375</v>
      </c>
      <c r="J26" s="19">
        <v>12</v>
      </c>
      <c r="K26" s="21">
        <f t="shared" si="1"/>
        <v>22654.109589041094</v>
      </c>
      <c r="L26" s="21"/>
      <c r="M26" s="21">
        <f t="shared" si="2"/>
        <v>188029.1095890411</v>
      </c>
    </row>
    <row r="27" spans="1:13" ht="15">
      <c r="A27" s="18" t="s">
        <v>147</v>
      </c>
      <c r="B27" s="18" t="s">
        <v>146</v>
      </c>
      <c r="C27" s="18"/>
      <c r="D27" s="19">
        <v>40</v>
      </c>
      <c r="E27" s="19" t="s">
        <v>27</v>
      </c>
      <c r="F27" s="19" t="s">
        <v>20</v>
      </c>
      <c r="G27" s="19">
        <v>1</v>
      </c>
      <c r="H27" s="100">
        <f>9742.67*1.05</f>
        <v>10229.8035</v>
      </c>
      <c r="I27" s="21">
        <f t="shared" si="0"/>
        <v>122757.64199999999</v>
      </c>
      <c r="J27" s="19">
        <v>12</v>
      </c>
      <c r="K27" s="21">
        <f t="shared" si="1"/>
        <v>16816.115342465753</v>
      </c>
      <c r="L27" s="21"/>
      <c r="M27" s="21">
        <f t="shared" si="2"/>
        <v>139573.75734246575</v>
      </c>
    </row>
    <row r="28" spans="1:13" ht="15">
      <c r="A28" s="18" t="s">
        <v>147</v>
      </c>
      <c r="B28" s="18" t="s">
        <v>146</v>
      </c>
      <c r="C28" s="18"/>
      <c r="D28" s="19">
        <v>40</v>
      </c>
      <c r="E28" s="19" t="s">
        <v>27</v>
      </c>
      <c r="F28" s="19" t="s">
        <v>20</v>
      </c>
      <c r="G28" s="19">
        <v>1</v>
      </c>
      <c r="H28" s="100">
        <f>9742.67*1.05</f>
        <v>10229.8035</v>
      </c>
      <c r="I28" s="21">
        <f t="shared" si="0"/>
        <v>122757.64199999999</v>
      </c>
      <c r="J28" s="19">
        <v>12</v>
      </c>
      <c r="K28" s="21">
        <f t="shared" si="1"/>
        <v>16816.115342465753</v>
      </c>
      <c r="L28" s="21"/>
      <c r="M28" s="21">
        <f t="shared" si="2"/>
        <v>139573.75734246575</v>
      </c>
    </row>
    <row r="29" spans="1:13" ht="15">
      <c r="A29" s="18" t="s">
        <v>147</v>
      </c>
      <c r="B29" s="18" t="s">
        <v>146</v>
      </c>
      <c r="C29" s="18"/>
      <c r="D29" s="19">
        <v>40</v>
      </c>
      <c r="E29" s="19" t="s">
        <v>27</v>
      </c>
      <c r="F29" s="19" t="s">
        <v>20</v>
      </c>
      <c r="G29" s="19">
        <v>1</v>
      </c>
      <c r="H29" s="100">
        <f>9742.67*1.05</f>
        <v>10229.8035</v>
      </c>
      <c r="I29" s="21">
        <f t="shared" si="0"/>
        <v>122757.64199999999</v>
      </c>
      <c r="J29" s="19">
        <v>12</v>
      </c>
      <c r="K29" s="21">
        <f t="shared" si="1"/>
        <v>16816.115342465753</v>
      </c>
      <c r="L29" s="21"/>
      <c r="M29" s="21">
        <f t="shared" si="2"/>
        <v>139573.75734246575</v>
      </c>
    </row>
    <row r="30" spans="1:13" ht="15">
      <c r="A30" s="18" t="s">
        <v>147</v>
      </c>
      <c r="B30" s="18" t="s">
        <v>146</v>
      </c>
      <c r="C30" s="18"/>
      <c r="D30" s="19">
        <v>40</v>
      </c>
      <c r="E30" s="19" t="s">
        <v>27</v>
      </c>
      <c r="F30" s="19" t="s">
        <v>20</v>
      </c>
      <c r="G30" s="19">
        <v>0</v>
      </c>
      <c r="H30" s="100">
        <v>12116.39</v>
      </c>
      <c r="I30" s="21">
        <f>+H30*J30</f>
        <v>145396.68</v>
      </c>
      <c r="J30" s="19">
        <v>12</v>
      </c>
      <c r="K30" s="21">
        <f>+I30/365*50</f>
        <v>19917.353424657533</v>
      </c>
      <c r="L30" s="21"/>
      <c r="M30" s="21">
        <f>+I30+K30</f>
        <v>165314.03342465754</v>
      </c>
    </row>
    <row r="31" spans="1:13" ht="15">
      <c r="A31" s="18" t="s">
        <v>147</v>
      </c>
      <c r="B31" s="18" t="s">
        <v>146</v>
      </c>
      <c r="C31" s="18"/>
      <c r="D31" s="19">
        <v>40</v>
      </c>
      <c r="E31" s="19" t="s">
        <v>27</v>
      </c>
      <c r="F31" s="19" t="s">
        <v>20</v>
      </c>
      <c r="G31" s="19">
        <v>1</v>
      </c>
      <c r="H31" s="100">
        <v>14489.95</v>
      </c>
      <c r="I31" s="21">
        <f t="shared" si="0"/>
        <v>173879.40000000002</v>
      </c>
      <c r="J31" s="19">
        <v>12</v>
      </c>
      <c r="K31" s="21">
        <f t="shared" si="1"/>
        <v>23819.09589041096</v>
      </c>
      <c r="L31" s="21"/>
      <c r="M31" s="21">
        <f t="shared" si="2"/>
        <v>197698.495890411</v>
      </c>
    </row>
    <row r="32" spans="1:13" ht="15">
      <c r="A32" s="18" t="s">
        <v>177</v>
      </c>
      <c r="B32" s="18" t="s">
        <v>139</v>
      </c>
      <c r="C32" s="18"/>
      <c r="D32" s="19">
        <v>40</v>
      </c>
      <c r="E32" s="19" t="s">
        <v>19</v>
      </c>
      <c r="F32" s="19" t="s">
        <v>20</v>
      </c>
      <c r="G32" s="19">
        <v>1</v>
      </c>
      <c r="H32" s="100">
        <f>23142.86*1.05</f>
        <v>24300.003</v>
      </c>
      <c r="I32" s="21">
        <f t="shared" si="0"/>
        <v>291600.036</v>
      </c>
      <c r="J32" s="19">
        <v>12</v>
      </c>
      <c r="K32" s="21">
        <f t="shared" si="1"/>
        <v>39945.210410958905</v>
      </c>
      <c r="L32" s="21"/>
      <c r="M32" s="21">
        <f t="shared" si="2"/>
        <v>331545.24641095893</v>
      </c>
    </row>
    <row r="33" spans="1:13" ht="15">
      <c r="A33" s="18" t="s">
        <v>178</v>
      </c>
      <c r="B33" s="18" t="s">
        <v>139</v>
      </c>
      <c r="C33" s="18"/>
      <c r="D33" s="19">
        <v>40</v>
      </c>
      <c r="E33" s="19" t="s">
        <v>19</v>
      </c>
      <c r="F33" s="19" t="s">
        <v>20</v>
      </c>
      <c r="G33" s="19">
        <v>1</v>
      </c>
      <c r="H33" s="100">
        <f>15131.55*1.05</f>
        <v>15888.1275</v>
      </c>
      <c r="I33" s="21">
        <f t="shared" si="0"/>
        <v>190657.53</v>
      </c>
      <c r="J33" s="19">
        <v>12</v>
      </c>
      <c r="K33" s="21">
        <f t="shared" si="1"/>
        <v>26117.469863013695</v>
      </c>
      <c r="L33" s="21"/>
      <c r="M33" s="21">
        <f t="shared" si="2"/>
        <v>216774.99986301368</v>
      </c>
    </row>
    <row r="34" spans="1:13" ht="15">
      <c r="A34" s="18" t="s">
        <v>140</v>
      </c>
      <c r="B34" s="18" t="s">
        <v>141</v>
      </c>
      <c r="C34" s="18"/>
      <c r="D34" s="19">
        <v>40</v>
      </c>
      <c r="E34" s="19" t="s">
        <v>27</v>
      </c>
      <c r="F34" s="19" t="s">
        <v>20</v>
      </c>
      <c r="G34" s="19">
        <v>1</v>
      </c>
      <c r="H34" s="100">
        <f aca="true" t="shared" si="3" ref="H34:H45">6833.84*1.05</f>
        <v>7175.532</v>
      </c>
      <c r="I34" s="21">
        <f t="shared" si="0"/>
        <v>86106.384</v>
      </c>
      <c r="J34" s="19">
        <v>12</v>
      </c>
      <c r="K34" s="21">
        <f t="shared" si="1"/>
        <v>11795.395068493151</v>
      </c>
      <c r="L34" s="21"/>
      <c r="M34" s="21">
        <f t="shared" si="2"/>
        <v>97901.77906849315</v>
      </c>
    </row>
    <row r="35" spans="1:13" ht="15">
      <c r="A35" s="18" t="s">
        <v>140</v>
      </c>
      <c r="B35" s="18" t="s">
        <v>141</v>
      </c>
      <c r="C35" s="18"/>
      <c r="D35" s="19">
        <v>40</v>
      </c>
      <c r="E35" s="19" t="s">
        <v>27</v>
      </c>
      <c r="F35" s="19" t="s">
        <v>20</v>
      </c>
      <c r="G35" s="19">
        <v>1</v>
      </c>
      <c r="H35" s="100">
        <f t="shared" si="3"/>
        <v>7175.532</v>
      </c>
      <c r="I35" s="21">
        <f t="shared" si="0"/>
        <v>86106.384</v>
      </c>
      <c r="J35" s="19">
        <v>12</v>
      </c>
      <c r="K35" s="21">
        <f t="shared" si="1"/>
        <v>11795.395068493151</v>
      </c>
      <c r="L35" s="21"/>
      <c r="M35" s="21">
        <f t="shared" si="2"/>
        <v>97901.77906849315</v>
      </c>
    </row>
    <row r="36" spans="1:13" ht="15">
      <c r="A36" s="18" t="s">
        <v>140</v>
      </c>
      <c r="B36" s="18" t="s">
        <v>141</v>
      </c>
      <c r="C36" s="18"/>
      <c r="D36" s="19">
        <v>40</v>
      </c>
      <c r="E36" s="19" t="s">
        <v>27</v>
      </c>
      <c r="F36" s="19" t="s">
        <v>20</v>
      </c>
      <c r="G36" s="19">
        <v>1</v>
      </c>
      <c r="H36" s="100">
        <f t="shared" si="3"/>
        <v>7175.532</v>
      </c>
      <c r="I36" s="21">
        <f t="shared" si="0"/>
        <v>86106.384</v>
      </c>
      <c r="J36" s="19">
        <v>12</v>
      </c>
      <c r="K36" s="21">
        <f t="shared" si="1"/>
        <v>11795.395068493151</v>
      </c>
      <c r="L36" s="21"/>
      <c r="M36" s="21">
        <f t="shared" si="2"/>
        <v>97901.77906849315</v>
      </c>
    </row>
    <row r="37" spans="1:13" ht="15">
      <c r="A37" s="18" t="s">
        <v>140</v>
      </c>
      <c r="B37" s="18" t="s">
        <v>141</v>
      </c>
      <c r="C37" s="18"/>
      <c r="D37" s="19">
        <v>40</v>
      </c>
      <c r="E37" s="19" t="s">
        <v>27</v>
      </c>
      <c r="F37" s="19" t="s">
        <v>20</v>
      </c>
      <c r="G37" s="19">
        <v>1</v>
      </c>
      <c r="H37" s="100">
        <f t="shared" si="3"/>
        <v>7175.532</v>
      </c>
      <c r="I37" s="21">
        <f t="shared" si="0"/>
        <v>86106.384</v>
      </c>
      <c r="J37" s="19">
        <v>12</v>
      </c>
      <c r="K37" s="21">
        <f t="shared" si="1"/>
        <v>11795.395068493151</v>
      </c>
      <c r="L37" s="21"/>
      <c r="M37" s="21">
        <f t="shared" si="2"/>
        <v>97901.77906849315</v>
      </c>
    </row>
    <row r="38" spans="1:13" ht="15">
      <c r="A38" s="18" t="s">
        <v>140</v>
      </c>
      <c r="B38" s="18" t="s">
        <v>141</v>
      </c>
      <c r="C38" s="18"/>
      <c r="D38" s="19">
        <v>40</v>
      </c>
      <c r="E38" s="19" t="s">
        <v>27</v>
      </c>
      <c r="F38" s="19" t="s">
        <v>20</v>
      </c>
      <c r="G38" s="19">
        <v>1</v>
      </c>
      <c r="H38" s="100">
        <f t="shared" si="3"/>
        <v>7175.532</v>
      </c>
      <c r="I38" s="21">
        <f t="shared" si="0"/>
        <v>86106.384</v>
      </c>
      <c r="J38" s="19">
        <v>12</v>
      </c>
      <c r="K38" s="21">
        <f t="shared" si="1"/>
        <v>11795.395068493151</v>
      </c>
      <c r="L38" s="21"/>
      <c r="M38" s="21">
        <f t="shared" si="2"/>
        <v>97901.77906849315</v>
      </c>
    </row>
    <row r="39" spans="1:13" ht="15">
      <c r="A39" s="18" t="s">
        <v>140</v>
      </c>
      <c r="B39" s="18" t="s">
        <v>141</v>
      </c>
      <c r="C39" s="18"/>
      <c r="D39" s="19">
        <v>40</v>
      </c>
      <c r="E39" s="19" t="s">
        <v>27</v>
      </c>
      <c r="F39" s="19" t="s">
        <v>20</v>
      </c>
      <c r="G39" s="19">
        <v>1</v>
      </c>
      <c r="H39" s="100">
        <f t="shared" si="3"/>
        <v>7175.532</v>
      </c>
      <c r="I39" s="21">
        <f t="shared" si="0"/>
        <v>86106.384</v>
      </c>
      <c r="J39" s="19">
        <v>12</v>
      </c>
      <c r="K39" s="21">
        <f t="shared" si="1"/>
        <v>11795.395068493151</v>
      </c>
      <c r="L39" s="21"/>
      <c r="M39" s="21">
        <f t="shared" si="2"/>
        <v>97901.77906849315</v>
      </c>
    </row>
    <row r="40" spans="1:13" ht="15">
      <c r="A40" s="18" t="s">
        <v>140</v>
      </c>
      <c r="B40" s="18" t="s">
        <v>141</v>
      </c>
      <c r="C40" s="18"/>
      <c r="D40" s="19">
        <v>40</v>
      </c>
      <c r="E40" s="19" t="s">
        <v>27</v>
      </c>
      <c r="F40" s="19" t="s">
        <v>20</v>
      </c>
      <c r="G40" s="19">
        <v>1</v>
      </c>
      <c r="H40" s="100">
        <f t="shared" si="3"/>
        <v>7175.532</v>
      </c>
      <c r="I40" s="21">
        <f t="shared" si="0"/>
        <v>86106.384</v>
      </c>
      <c r="J40" s="19">
        <v>12</v>
      </c>
      <c r="K40" s="21">
        <f t="shared" si="1"/>
        <v>11795.395068493151</v>
      </c>
      <c r="L40" s="21"/>
      <c r="M40" s="21">
        <f t="shared" si="2"/>
        <v>97901.77906849315</v>
      </c>
    </row>
    <row r="41" spans="1:13" ht="15">
      <c r="A41" s="18" t="s">
        <v>140</v>
      </c>
      <c r="B41" s="18" t="s">
        <v>141</v>
      </c>
      <c r="C41" s="18"/>
      <c r="D41" s="19">
        <v>40</v>
      </c>
      <c r="E41" s="19" t="s">
        <v>27</v>
      </c>
      <c r="F41" s="19" t="s">
        <v>20</v>
      </c>
      <c r="G41" s="19">
        <v>1</v>
      </c>
      <c r="H41" s="100">
        <f t="shared" si="3"/>
        <v>7175.532</v>
      </c>
      <c r="I41" s="21">
        <f t="shared" si="0"/>
        <v>86106.384</v>
      </c>
      <c r="J41" s="19">
        <v>12</v>
      </c>
      <c r="K41" s="21">
        <f t="shared" si="1"/>
        <v>11795.395068493151</v>
      </c>
      <c r="L41" s="21"/>
      <c r="M41" s="21">
        <f t="shared" si="2"/>
        <v>97901.77906849315</v>
      </c>
    </row>
    <row r="42" spans="1:13" ht="15">
      <c r="A42" s="18" t="s">
        <v>112</v>
      </c>
      <c r="B42" s="18" t="s">
        <v>143</v>
      </c>
      <c r="C42" s="18"/>
      <c r="D42" s="19">
        <v>40</v>
      </c>
      <c r="E42" s="19" t="s">
        <v>27</v>
      </c>
      <c r="F42" s="19" t="s">
        <v>20</v>
      </c>
      <c r="G42" s="19">
        <v>1</v>
      </c>
      <c r="H42" s="100">
        <v>8953.76</v>
      </c>
      <c r="I42" s="21">
        <f t="shared" si="0"/>
        <v>107445.12</v>
      </c>
      <c r="J42" s="19">
        <v>12</v>
      </c>
      <c r="K42" s="21">
        <f t="shared" si="1"/>
        <v>14718.509589041096</v>
      </c>
      <c r="L42" s="21"/>
      <c r="M42" s="21">
        <f t="shared" si="2"/>
        <v>122163.62958904108</v>
      </c>
    </row>
    <row r="43" spans="1:13" ht="15">
      <c r="A43" s="18" t="s">
        <v>140</v>
      </c>
      <c r="B43" s="18" t="s">
        <v>141</v>
      </c>
      <c r="C43" s="18"/>
      <c r="D43" s="19">
        <v>40</v>
      </c>
      <c r="E43" s="19" t="s">
        <v>27</v>
      </c>
      <c r="F43" s="19" t="s">
        <v>20</v>
      </c>
      <c r="G43" s="19">
        <v>1</v>
      </c>
      <c r="H43" s="100">
        <f t="shared" si="3"/>
        <v>7175.532</v>
      </c>
      <c r="I43" s="21">
        <f t="shared" si="0"/>
        <v>86106.384</v>
      </c>
      <c r="J43" s="19">
        <v>12</v>
      </c>
      <c r="K43" s="21">
        <f t="shared" si="1"/>
        <v>11795.395068493151</v>
      </c>
      <c r="L43" s="21"/>
      <c r="M43" s="21">
        <f t="shared" si="2"/>
        <v>97901.77906849315</v>
      </c>
    </row>
    <row r="44" spans="1:13" ht="15">
      <c r="A44" s="18" t="s">
        <v>140</v>
      </c>
      <c r="B44" s="18" t="s">
        <v>141</v>
      </c>
      <c r="C44" s="18"/>
      <c r="D44" s="19">
        <v>40</v>
      </c>
      <c r="E44" s="19" t="s">
        <v>27</v>
      </c>
      <c r="F44" s="19" t="s">
        <v>20</v>
      </c>
      <c r="G44" s="19">
        <v>1</v>
      </c>
      <c r="H44" s="100">
        <f t="shared" si="3"/>
        <v>7175.532</v>
      </c>
      <c r="I44" s="21">
        <f t="shared" si="0"/>
        <v>86106.384</v>
      </c>
      <c r="J44" s="19">
        <v>12</v>
      </c>
      <c r="K44" s="21">
        <f t="shared" si="1"/>
        <v>11795.395068493151</v>
      </c>
      <c r="L44" s="21"/>
      <c r="M44" s="21">
        <f t="shared" si="2"/>
        <v>97901.77906849315</v>
      </c>
    </row>
    <row r="45" spans="1:13" ht="15">
      <c r="A45" s="18" t="s">
        <v>140</v>
      </c>
      <c r="B45" s="18" t="s">
        <v>141</v>
      </c>
      <c r="C45" s="18"/>
      <c r="D45" s="19">
        <v>40</v>
      </c>
      <c r="E45" s="19" t="s">
        <v>27</v>
      </c>
      <c r="F45" s="19" t="s">
        <v>20</v>
      </c>
      <c r="G45" s="19">
        <v>1</v>
      </c>
      <c r="H45" s="100">
        <f t="shared" si="3"/>
        <v>7175.532</v>
      </c>
      <c r="I45" s="21">
        <f t="shared" si="0"/>
        <v>86106.384</v>
      </c>
      <c r="J45" s="19">
        <v>12</v>
      </c>
      <c r="K45" s="21">
        <f t="shared" si="1"/>
        <v>11795.395068493151</v>
      </c>
      <c r="L45" s="21"/>
      <c r="M45" s="21">
        <f t="shared" si="2"/>
        <v>97901.77906849315</v>
      </c>
    </row>
    <row r="46" spans="1:13" ht="15">
      <c r="A46" s="18" t="s">
        <v>271</v>
      </c>
      <c r="B46" s="18" t="s">
        <v>139</v>
      </c>
      <c r="C46" s="18"/>
      <c r="D46" s="19">
        <v>8</v>
      </c>
      <c r="E46" s="19" t="s">
        <v>45</v>
      </c>
      <c r="F46" s="19" t="s">
        <v>20</v>
      </c>
      <c r="G46" s="19">
        <v>1</v>
      </c>
      <c r="H46" s="100">
        <v>8920.32</v>
      </c>
      <c r="I46" s="21">
        <f t="shared" si="0"/>
        <v>107043.84</v>
      </c>
      <c r="J46" s="19">
        <v>12</v>
      </c>
      <c r="K46" s="21">
        <f t="shared" si="1"/>
        <v>14663.539726027397</v>
      </c>
      <c r="L46" s="21"/>
      <c r="M46" s="21">
        <f t="shared" si="2"/>
        <v>121707.3797260274</v>
      </c>
    </row>
    <row r="47" spans="1:13" ht="15">
      <c r="A47" s="18" t="s">
        <v>112</v>
      </c>
      <c r="B47" s="18" t="s">
        <v>141</v>
      </c>
      <c r="C47" s="18"/>
      <c r="D47" s="19">
        <v>40</v>
      </c>
      <c r="E47" s="19" t="s">
        <v>27</v>
      </c>
      <c r="F47" s="19" t="s">
        <v>20</v>
      </c>
      <c r="G47" s="19">
        <v>1</v>
      </c>
      <c r="H47" s="100">
        <f>9808.88*1.05</f>
        <v>10299.323999999999</v>
      </c>
      <c r="I47" s="21">
        <f t="shared" si="0"/>
        <v>123591.88799999998</v>
      </c>
      <c r="J47" s="19">
        <v>12</v>
      </c>
      <c r="K47" s="21">
        <f t="shared" si="1"/>
        <v>16930.395616438353</v>
      </c>
      <c r="L47" s="21"/>
      <c r="M47" s="21">
        <f t="shared" si="2"/>
        <v>140522.28361643833</v>
      </c>
    </row>
    <row r="48" spans="1:13" ht="15">
      <c r="A48" s="18" t="s">
        <v>112</v>
      </c>
      <c r="B48" s="18" t="s">
        <v>141</v>
      </c>
      <c r="C48" s="18"/>
      <c r="D48" s="19">
        <v>40</v>
      </c>
      <c r="E48" s="19" t="s">
        <v>27</v>
      </c>
      <c r="F48" s="19" t="s">
        <v>20</v>
      </c>
      <c r="G48" s="19">
        <v>1</v>
      </c>
      <c r="H48" s="100">
        <f>8527.66*1.05</f>
        <v>8954.043</v>
      </c>
      <c r="I48" s="21">
        <f t="shared" si="0"/>
        <v>107448.516</v>
      </c>
      <c r="J48" s="19">
        <v>12</v>
      </c>
      <c r="K48" s="21">
        <f t="shared" si="1"/>
        <v>14718.974794520549</v>
      </c>
      <c r="L48" s="21"/>
      <c r="M48" s="21">
        <f t="shared" si="2"/>
        <v>122167.49079452055</v>
      </c>
    </row>
    <row r="49" spans="1:13" ht="15">
      <c r="A49" s="18" t="s">
        <v>112</v>
      </c>
      <c r="B49" s="18" t="s">
        <v>141</v>
      </c>
      <c r="C49" s="18"/>
      <c r="D49" s="19">
        <v>40</v>
      </c>
      <c r="E49" s="19" t="s">
        <v>27</v>
      </c>
      <c r="F49" s="19" t="s">
        <v>20</v>
      </c>
      <c r="G49" s="19">
        <v>1</v>
      </c>
      <c r="H49" s="100">
        <f>8527.66*1.05</f>
        <v>8954.043</v>
      </c>
      <c r="I49" s="21">
        <f t="shared" si="0"/>
        <v>107448.516</v>
      </c>
      <c r="J49" s="19">
        <v>12</v>
      </c>
      <c r="K49" s="21">
        <f t="shared" si="1"/>
        <v>14718.974794520549</v>
      </c>
      <c r="L49" s="21"/>
      <c r="M49" s="21">
        <f t="shared" si="2"/>
        <v>122167.49079452055</v>
      </c>
    </row>
    <row r="50" spans="1:13" ht="15">
      <c r="A50" s="18" t="s">
        <v>112</v>
      </c>
      <c r="B50" s="18" t="s">
        <v>141</v>
      </c>
      <c r="C50" s="18"/>
      <c r="D50" s="19">
        <v>40</v>
      </c>
      <c r="E50" s="19" t="s">
        <v>27</v>
      </c>
      <c r="F50" s="19" t="s">
        <v>20</v>
      </c>
      <c r="G50" s="19">
        <v>1</v>
      </c>
      <c r="H50" s="100">
        <v>13162.34</v>
      </c>
      <c r="I50" s="21">
        <f t="shared" si="0"/>
        <v>157948.08000000002</v>
      </c>
      <c r="J50" s="19">
        <v>12</v>
      </c>
      <c r="K50" s="21">
        <f t="shared" si="1"/>
        <v>21636.723287671237</v>
      </c>
      <c r="L50" s="21"/>
      <c r="M50" s="21">
        <f t="shared" si="2"/>
        <v>179584.80328767124</v>
      </c>
    </row>
    <row r="51" spans="1:13" ht="15">
      <c r="A51" s="18" t="s">
        <v>112</v>
      </c>
      <c r="B51" s="18" t="s">
        <v>141</v>
      </c>
      <c r="C51" s="18"/>
      <c r="D51" s="19">
        <v>40</v>
      </c>
      <c r="E51" s="19" t="s">
        <v>27</v>
      </c>
      <c r="F51" s="19" t="s">
        <v>20</v>
      </c>
      <c r="G51" s="19">
        <v>1</v>
      </c>
      <c r="H51" s="100">
        <f>8527.66*1.05</f>
        <v>8954.043</v>
      </c>
      <c r="I51" s="21">
        <f t="shared" si="0"/>
        <v>107448.516</v>
      </c>
      <c r="J51" s="19">
        <v>12</v>
      </c>
      <c r="K51" s="21">
        <f t="shared" si="1"/>
        <v>14718.974794520549</v>
      </c>
      <c r="L51" s="21"/>
      <c r="M51" s="21">
        <f t="shared" si="2"/>
        <v>122167.49079452055</v>
      </c>
    </row>
    <row r="52" spans="1:13" ht="15">
      <c r="A52" s="18" t="s">
        <v>112</v>
      </c>
      <c r="B52" s="18" t="s">
        <v>141</v>
      </c>
      <c r="C52" s="18"/>
      <c r="D52" s="19">
        <v>40</v>
      </c>
      <c r="E52" s="19" t="s">
        <v>27</v>
      </c>
      <c r="F52" s="19" t="s">
        <v>20</v>
      </c>
      <c r="G52" s="19">
        <v>1</v>
      </c>
      <c r="H52" s="100">
        <f>10045.46*1.05</f>
        <v>10547.733</v>
      </c>
      <c r="I52" s="21">
        <f t="shared" si="0"/>
        <v>126572.796</v>
      </c>
      <c r="J52" s="19">
        <v>12</v>
      </c>
      <c r="K52" s="21">
        <f t="shared" si="1"/>
        <v>17338.739178082193</v>
      </c>
      <c r="L52" s="21"/>
      <c r="M52" s="21">
        <f t="shared" si="2"/>
        <v>143911.53517808218</v>
      </c>
    </row>
    <row r="53" spans="1:13" ht="15">
      <c r="A53" s="18" t="s">
        <v>112</v>
      </c>
      <c r="B53" s="18" t="s">
        <v>141</v>
      </c>
      <c r="C53" s="18"/>
      <c r="D53" s="19">
        <v>40</v>
      </c>
      <c r="E53" s="19" t="s">
        <v>27</v>
      </c>
      <c r="F53" s="19" t="s">
        <v>20</v>
      </c>
      <c r="G53" s="19">
        <v>1</v>
      </c>
      <c r="H53" s="100">
        <f>8527.66*1.05</f>
        <v>8954.043</v>
      </c>
      <c r="I53" s="21">
        <f t="shared" si="0"/>
        <v>107448.516</v>
      </c>
      <c r="J53" s="19">
        <v>12</v>
      </c>
      <c r="K53" s="21">
        <f t="shared" si="1"/>
        <v>14718.974794520549</v>
      </c>
      <c r="L53" s="21"/>
      <c r="M53" s="21">
        <f t="shared" si="2"/>
        <v>122167.49079452055</v>
      </c>
    </row>
    <row r="54" spans="1:13" ht="15">
      <c r="A54" s="18" t="s">
        <v>112</v>
      </c>
      <c r="B54" s="18" t="s">
        <v>141</v>
      </c>
      <c r="C54" s="18"/>
      <c r="D54" s="19">
        <v>40</v>
      </c>
      <c r="E54" s="19" t="s">
        <v>27</v>
      </c>
      <c r="F54" s="19" t="s">
        <v>20</v>
      </c>
      <c r="G54" s="19">
        <v>1</v>
      </c>
      <c r="H54" s="100">
        <f>8527.66*1.05</f>
        <v>8954.043</v>
      </c>
      <c r="I54" s="21">
        <f t="shared" si="0"/>
        <v>107448.516</v>
      </c>
      <c r="J54" s="19">
        <v>12</v>
      </c>
      <c r="K54" s="21">
        <f t="shared" si="1"/>
        <v>14718.974794520549</v>
      </c>
      <c r="L54" s="21"/>
      <c r="M54" s="21">
        <f t="shared" si="2"/>
        <v>122167.49079452055</v>
      </c>
    </row>
    <row r="55" spans="1:13" ht="15">
      <c r="A55" s="18" t="s">
        <v>112</v>
      </c>
      <c r="B55" s="18" t="s">
        <v>141</v>
      </c>
      <c r="C55" s="18"/>
      <c r="D55" s="19">
        <v>40</v>
      </c>
      <c r="E55" s="19" t="s">
        <v>27</v>
      </c>
      <c r="F55" s="19" t="s">
        <v>20</v>
      </c>
      <c r="G55" s="19">
        <v>1</v>
      </c>
      <c r="H55" s="100">
        <f>10045.46*1.05</f>
        <v>10547.733</v>
      </c>
      <c r="I55" s="21">
        <f t="shared" si="0"/>
        <v>126572.796</v>
      </c>
      <c r="J55" s="19">
        <v>12</v>
      </c>
      <c r="K55" s="21">
        <f t="shared" si="1"/>
        <v>17338.739178082193</v>
      </c>
      <c r="L55" s="21"/>
      <c r="M55" s="21">
        <f t="shared" si="2"/>
        <v>143911.53517808218</v>
      </c>
    </row>
    <row r="56" spans="1:13" ht="15">
      <c r="A56" s="18" t="s">
        <v>142</v>
      </c>
      <c r="B56" s="18" t="s">
        <v>141</v>
      </c>
      <c r="C56" s="18"/>
      <c r="D56" s="19">
        <v>40</v>
      </c>
      <c r="E56" s="19" t="s">
        <v>27</v>
      </c>
      <c r="F56" s="19" t="s">
        <v>20</v>
      </c>
      <c r="G56" s="19">
        <v>1</v>
      </c>
      <c r="H56" s="100">
        <f>6718*1.05</f>
        <v>7053.900000000001</v>
      </c>
      <c r="I56" s="21">
        <f t="shared" si="0"/>
        <v>84646.8</v>
      </c>
      <c r="J56" s="19">
        <v>12</v>
      </c>
      <c r="K56" s="21">
        <f t="shared" si="1"/>
        <v>11595.452054794521</v>
      </c>
      <c r="L56" s="21"/>
      <c r="M56" s="21">
        <f t="shared" si="2"/>
        <v>96242.25205479452</v>
      </c>
    </row>
    <row r="57" spans="1:13" ht="15">
      <c r="A57" s="18" t="s">
        <v>142</v>
      </c>
      <c r="B57" s="18" t="s">
        <v>141</v>
      </c>
      <c r="C57" s="18"/>
      <c r="D57" s="19">
        <v>40</v>
      </c>
      <c r="E57" s="19" t="s">
        <v>27</v>
      </c>
      <c r="F57" s="19" t="s">
        <v>20</v>
      </c>
      <c r="G57" s="19">
        <v>1</v>
      </c>
      <c r="H57" s="100">
        <f aca="true" t="shared" si="4" ref="H57:H72">6718*1.05</f>
        <v>7053.900000000001</v>
      </c>
      <c r="I57" s="21">
        <f t="shared" si="0"/>
        <v>84646.8</v>
      </c>
      <c r="J57" s="19">
        <v>12</v>
      </c>
      <c r="K57" s="21">
        <f t="shared" si="1"/>
        <v>11595.452054794521</v>
      </c>
      <c r="L57" s="21"/>
      <c r="M57" s="21">
        <f t="shared" si="2"/>
        <v>96242.25205479452</v>
      </c>
    </row>
    <row r="58" spans="1:13" ht="15">
      <c r="A58" s="18" t="s">
        <v>142</v>
      </c>
      <c r="B58" s="18" t="s">
        <v>141</v>
      </c>
      <c r="C58" s="18"/>
      <c r="D58" s="19">
        <v>40</v>
      </c>
      <c r="E58" s="19" t="s">
        <v>27</v>
      </c>
      <c r="F58" s="19" t="s">
        <v>20</v>
      </c>
      <c r="G58" s="19">
        <v>1</v>
      </c>
      <c r="H58" s="100">
        <f t="shared" si="4"/>
        <v>7053.900000000001</v>
      </c>
      <c r="I58" s="21">
        <f t="shared" si="0"/>
        <v>84646.8</v>
      </c>
      <c r="J58" s="19">
        <v>12</v>
      </c>
      <c r="K58" s="21">
        <f t="shared" si="1"/>
        <v>11595.452054794521</v>
      </c>
      <c r="L58" s="21"/>
      <c r="M58" s="21">
        <f t="shared" si="2"/>
        <v>96242.25205479452</v>
      </c>
    </row>
    <row r="59" spans="1:13" ht="15">
      <c r="A59" s="18" t="s">
        <v>142</v>
      </c>
      <c r="B59" s="18" t="s">
        <v>141</v>
      </c>
      <c r="C59" s="18"/>
      <c r="D59" s="19">
        <v>40</v>
      </c>
      <c r="E59" s="19" t="s">
        <v>27</v>
      </c>
      <c r="F59" s="19" t="s">
        <v>20</v>
      </c>
      <c r="G59" s="19">
        <v>1</v>
      </c>
      <c r="H59" s="100">
        <f t="shared" si="4"/>
        <v>7053.900000000001</v>
      </c>
      <c r="I59" s="21">
        <f t="shared" si="0"/>
        <v>84646.8</v>
      </c>
      <c r="J59" s="19">
        <v>12</v>
      </c>
      <c r="K59" s="21">
        <f t="shared" si="1"/>
        <v>11595.452054794521</v>
      </c>
      <c r="L59" s="21"/>
      <c r="M59" s="21">
        <f t="shared" si="2"/>
        <v>96242.25205479452</v>
      </c>
    </row>
    <row r="60" spans="1:13" ht="15">
      <c r="A60" s="18" t="s">
        <v>142</v>
      </c>
      <c r="B60" s="18" t="s">
        <v>141</v>
      </c>
      <c r="C60" s="18"/>
      <c r="D60" s="19">
        <v>40</v>
      </c>
      <c r="E60" s="19" t="s">
        <v>27</v>
      </c>
      <c r="F60" s="19" t="s">
        <v>20</v>
      </c>
      <c r="G60" s="19">
        <v>1</v>
      </c>
      <c r="H60" s="100">
        <f t="shared" si="4"/>
        <v>7053.900000000001</v>
      </c>
      <c r="I60" s="21">
        <f t="shared" si="0"/>
        <v>84646.8</v>
      </c>
      <c r="J60" s="19">
        <v>12</v>
      </c>
      <c r="K60" s="21">
        <f t="shared" si="1"/>
        <v>11595.452054794521</v>
      </c>
      <c r="L60" s="21"/>
      <c r="M60" s="21">
        <f t="shared" si="2"/>
        <v>96242.25205479452</v>
      </c>
    </row>
    <row r="61" spans="1:13" ht="15">
      <c r="A61" s="18" t="s">
        <v>142</v>
      </c>
      <c r="B61" s="18" t="s">
        <v>141</v>
      </c>
      <c r="C61" s="18"/>
      <c r="D61" s="19">
        <v>40</v>
      </c>
      <c r="E61" s="19" t="s">
        <v>27</v>
      </c>
      <c r="F61" s="19" t="s">
        <v>20</v>
      </c>
      <c r="G61" s="19">
        <v>1</v>
      </c>
      <c r="H61" s="100">
        <f t="shared" si="4"/>
        <v>7053.900000000001</v>
      </c>
      <c r="I61" s="21">
        <f t="shared" si="0"/>
        <v>84646.8</v>
      </c>
      <c r="J61" s="19">
        <v>12</v>
      </c>
      <c r="K61" s="21">
        <f t="shared" si="1"/>
        <v>11595.452054794521</v>
      </c>
      <c r="L61" s="21"/>
      <c r="M61" s="21">
        <f t="shared" si="2"/>
        <v>96242.25205479452</v>
      </c>
    </row>
    <row r="62" spans="1:13" ht="15">
      <c r="A62" s="18" t="s">
        <v>142</v>
      </c>
      <c r="B62" s="18" t="s">
        <v>141</v>
      </c>
      <c r="C62" s="18"/>
      <c r="D62" s="19">
        <v>40</v>
      </c>
      <c r="E62" s="19" t="s">
        <v>27</v>
      </c>
      <c r="F62" s="19" t="s">
        <v>20</v>
      </c>
      <c r="G62" s="19">
        <v>1</v>
      </c>
      <c r="H62" s="100">
        <f t="shared" si="4"/>
        <v>7053.900000000001</v>
      </c>
      <c r="I62" s="21">
        <f t="shared" si="0"/>
        <v>84646.8</v>
      </c>
      <c r="J62" s="19">
        <v>12</v>
      </c>
      <c r="K62" s="21">
        <f t="shared" si="1"/>
        <v>11595.452054794521</v>
      </c>
      <c r="L62" s="21"/>
      <c r="M62" s="21">
        <f t="shared" si="2"/>
        <v>96242.25205479452</v>
      </c>
    </row>
    <row r="63" spans="1:13" ht="15">
      <c r="A63" s="18" t="s">
        <v>142</v>
      </c>
      <c r="B63" s="18" t="s">
        <v>141</v>
      </c>
      <c r="C63" s="18"/>
      <c r="D63" s="19">
        <v>40</v>
      </c>
      <c r="E63" s="19" t="s">
        <v>27</v>
      </c>
      <c r="F63" s="19" t="s">
        <v>20</v>
      </c>
      <c r="G63" s="19">
        <v>1</v>
      </c>
      <c r="H63" s="100">
        <f t="shared" si="4"/>
        <v>7053.900000000001</v>
      </c>
      <c r="I63" s="21">
        <f t="shared" si="0"/>
        <v>84646.8</v>
      </c>
      <c r="J63" s="19">
        <v>12</v>
      </c>
      <c r="K63" s="21">
        <f t="shared" si="1"/>
        <v>11595.452054794521</v>
      </c>
      <c r="L63" s="21"/>
      <c r="M63" s="21">
        <f t="shared" si="2"/>
        <v>96242.25205479452</v>
      </c>
    </row>
    <row r="64" spans="1:13" ht="15">
      <c r="A64" s="18" t="s">
        <v>142</v>
      </c>
      <c r="B64" s="18" t="s">
        <v>141</v>
      </c>
      <c r="C64" s="18"/>
      <c r="D64" s="19">
        <v>40</v>
      </c>
      <c r="E64" s="19" t="s">
        <v>27</v>
      </c>
      <c r="F64" s="19" t="s">
        <v>20</v>
      </c>
      <c r="G64" s="19">
        <v>1</v>
      </c>
      <c r="H64" s="100">
        <f t="shared" si="4"/>
        <v>7053.900000000001</v>
      </c>
      <c r="I64" s="21">
        <f t="shared" si="0"/>
        <v>84646.8</v>
      </c>
      <c r="J64" s="19">
        <v>12</v>
      </c>
      <c r="K64" s="21">
        <f t="shared" si="1"/>
        <v>11595.452054794521</v>
      </c>
      <c r="L64" s="21"/>
      <c r="M64" s="21">
        <f t="shared" si="2"/>
        <v>96242.25205479452</v>
      </c>
    </row>
    <row r="65" spans="1:13" ht="15">
      <c r="A65" s="18" t="s">
        <v>142</v>
      </c>
      <c r="B65" s="18" t="s">
        <v>141</v>
      </c>
      <c r="C65" s="18"/>
      <c r="D65" s="19">
        <v>40</v>
      </c>
      <c r="E65" s="19" t="s">
        <v>27</v>
      </c>
      <c r="F65" s="19" t="s">
        <v>20</v>
      </c>
      <c r="G65" s="19">
        <v>1</v>
      </c>
      <c r="H65" s="100">
        <f t="shared" si="4"/>
        <v>7053.900000000001</v>
      </c>
      <c r="I65" s="21">
        <f t="shared" si="0"/>
        <v>84646.8</v>
      </c>
      <c r="J65" s="19">
        <v>12</v>
      </c>
      <c r="K65" s="21">
        <f t="shared" si="1"/>
        <v>11595.452054794521</v>
      </c>
      <c r="L65" s="21"/>
      <c r="M65" s="21">
        <f t="shared" si="2"/>
        <v>96242.25205479452</v>
      </c>
    </row>
    <row r="66" spans="1:13" ht="15">
      <c r="A66" s="18" t="s">
        <v>142</v>
      </c>
      <c r="B66" s="18" t="s">
        <v>141</v>
      </c>
      <c r="C66" s="18"/>
      <c r="D66" s="19">
        <v>40</v>
      </c>
      <c r="E66" s="19" t="s">
        <v>27</v>
      </c>
      <c r="F66" s="19" t="s">
        <v>20</v>
      </c>
      <c r="G66" s="19">
        <v>1</v>
      </c>
      <c r="H66" s="100">
        <f t="shared" si="4"/>
        <v>7053.900000000001</v>
      </c>
      <c r="I66" s="21">
        <f t="shared" si="0"/>
        <v>84646.8</v>
      </c>
      <c r="J66" s="19">
        <v>12</v>
      </c>
      <c r="K66" s="21">
        <f t="shared" si="1"/>
        <v>11595.452054794521</v>
      </c>
      <c r="L66" s="21"/>
      <c r="M66" s="21">
        <f t="shared" si="2"/>
        <v>96242.25205479452</v>
      </c>
    </row>
    <row r="67" spans="1:13" ht="15">
      <c r="A67" s="18" t="s">
        <v>142</v>
      </c>
      <c r="B67" s="18" t="s">
        <v>141</v>
      </c>
      <c r="C67" s="18"/>
      <c r="D67" s="19">
        <v>40</v>
      </c>
      <c r="E67" s="19" t="s">
        <v>27</v>
      </c>
      <c r="F67" s="19" t="s">
        <v>20</v>
      </c>
      <c r="G67" s="19">
        <v>1</v>
      </c>
      <c r="H67" s="100">
        <f t="shared" si="4"/>
        <v>7053.900000000001</v>
      </c>
      <c r="I67" s="21">
        <f t="shared" si="0"/>
        <v>84646.8</v>
      </c>
      <c r="J67" s="19">
        <v>12</v>
      </c>
      <c r="K67" s="21">
        <f t="shared" si="1"/>
        <v>11595.452054794521</v>
      </c>
      <c r="L67" s="21"/>
      <c r="M67" s="21">
        <f t="shared" si="2"/>
        <v>96242.25205479452</v>
      </c>
    </row>
    <row r="68" spans="1:13" ht="15">
      <c r="A68" s="18" t="s">
        <v>142</v>
      </c>
      <c r="B68" s="18" t="s">
        <v>141</v>
      </c>
      <c r="C68" s="18"/>
      <c r="D68" s="19">
        <v>40</v>
      </c>
      <c r="E68" s="19" t="s">
        <v>27</v>
      </c>
      <c r="F68" s="19" t="s">
        <v>20</v>
      </c>
      <c r="G68" s="19">
        <v>1</v>
      </c>
      <c r="H68" s="100">
        <f t="shared" si="4"/>
        <v>7053.900000000001</v>
      </c>
      <c r="I68" s="21">
        <f t="shared" si="0"/>
        <v>84646.8</v>
      </c>
      <c r="J68" s="19">
        <v>12</v>
      </c>
      <c r="K68" s="21">
        <f t="shared" si="1"/>
        <v>11595.452054794521</v>
      </c>
      <c r="L68" s="21"/>
      <c r="M68" s="21">
        <f t="shared" si="2"/>
        <v>96242.25205479452</v>
      </c>
    </row>
    <row r="69" spans="1:13" ht="15">
      <c r="A69" s="18" t="s">
        <v>142</v>
      </c>
      <c r="B69" s="18" t="s">
        <v>141</v>
      </c>
      <c r="C69" s="18"/>
      <c r="D69" s="19">
        <v>40</v>
      </c>
      <c r="E69" s="19" t="s">
        <v>27</v>
      </c>
      <c r="F69" s="19" t="s">
        <v>20</v>
      </c>
      <c r="G69" s="19">
        <v>1</v>
      </c>
      <c r="H69" s="100">
        <f t="shared" si="4"/>
        <v>7053.900000000001</v>
      </c>
      <c r="I69" s="21">
        <f t="shared" si="0"/>
        <v>84646.8</v>
      </c>
      <c r="J69" s="19">
        <v>12</v>
      </c>
      <c r="K69" s="21">
        <f t="shared" si="1"/>
        <v>11595.452054794521</v>
      </c>
      <c r="L69" s="21"/>
      <c r="M69" s="21">
        <f t="shared" si="2"/>
        <v>96242.25205479452</v>
      </c>
    </row>
    <row r="70" spans="1:13" ht="15">
      <c r="A70" s="18" t="s">
        <v>142</v>
      </c>
      <c r="B70" s="18" t="s">
        <v>141</v>
      </c>
      <c r="C70" s="18"/>
      <c r="D70" s="19">
        <v>40</v>
      </c>
      <c r="E70" s="19" t="s">
        <v>27</v>
      </c>
      <c r="F70" s="19" t="s">
        <v>20</v>
      </c>
      <c r="G70" s="19">
        <v>1</v>
      </c>
      <c r="H70" s="100">
        <f t="shared" si="4"/>
        <v>7053.900000000001</v>
      </c>
      <c r="I70" s="21">
        <f aca="true" t="shared" si="5" ref="I70:I120">+H70*J70</f>
        <v>84646.8</v>
      </c>
      <c r="J70" s="19">
        <v>12</v>
      </c>
      <c r="K70" s="21">
        <f aca="true" t="shared" si="6" ref="K70:K120">+I70/365*50</f>
        <v>11595.452054794521</v>
      </c>
      <c r="L70" s="21"/>
      <c r="M70" s="21">
        <f aca="true" t="shared" si="7" ref="M70:M120">+I70+K70</f>
        <v>96242.25205479452</v>
      </c>
    </row>
    <row r="71" spans="1:13" ht="15">
      <c r="A71" s="18" t="s">
        <v>142</v>
      </c>
      <c r="B71" s="18" t="s">
        <v>141</v>
      </c>
      <c r="C71" s="18"/>
      <c r="D71" s="19">
        <v>40</v>
      </c>
      <c r="E71" s="19" t="s">
        <v>27</v>
      </c>
      <c r="F71" s="19" t="s">
        <v>20</v>
      </c>
      <c r="G71" s="19">
        <v>1</v>
      </c>
      <c r="H71" s="100">
        <f t="shared" si="4"/>
        <v>7053.900000000001</v>
      </c>
      <c r="I71" s="21">
        <f t="shared" si="5"/>
        <v>84646.8</v>
      </c>
      <c r="J71" s="19">
        <v>12</v>
      </c>
      <c r="K71" s="21">
        <f t="shared" si="6"/>
        <v>11595.452054794521</v>
      </c>
      <c r="L71" s="21"/>
      <c r="M71" s="21">
        <f t="shared" si="7"/>
        <v>96242.25205479452</v>
      </c>
    </row>
    <row r="72" spans="1:13" ht="15">
      <c r="A72" s="18" t="s">
        <v>142</v>
      </c>
      <c r="B72" s="18" t="s">
        <v>141</v>
      </c>
      <c r="C72" s="18"/>
      <c r="D72" s="19">
        <v>40</v>
      </c>
      <c r="E72" s="19" t="s">
        <v>27</v>
      </c>
      <c r="F72" s="19" t="s">
        <v>20</v>
      </c>
      <c r="G72" s="19">
        <v>1</v>
      </c>
      <c r="H72" s="100">
        <f t="shared" si="4"/>
        <v>7053.900000000001</v>
      </c>
      <c r="I72" s="21">
        <f t="shared" si="5"/>
        <v>84646.8</v>
      </c>
      <c r="J72" s="19">
        <v>12</v>
      </c>
      <c r="K72" s="21">
        <f t="shared" si="6"/>
        <v>11595.452054794521</v>
      </c>
      <c r="L72" s="21"/>
      <c r="M72" s="21">
        <f t="shared" si="7"/>
        <v>96242.25205479452</v>
      </c>
    </row>
    <row r="73" spans="1:13" ht="15">
      <c r="A73" s="18" t="s">
        <v>133</v>
      </c>
      <c r="B73" s="18" t="s">
        <v>134</v>
      </c>
      <c r="C73" s="18"/>
      <c r="D73" s="19">
        <v>40</v>
      </c>
      <c r="E73" s="19" t="s">
        <v>19</v>
      </c>
      <c r="F73" s="19" t="s">
        <v>20</v>
      </c>
      <c r="G73" s="19">
        <v>1</v>
      </c>
      <c r="H73" s="100">
        <f>16926.95*1.05</f>
        <v>17773.2975</v>
      </c>
      <c r="I73" s="21">
        <f t="shared" si="5"/>
        <v>213279.57</v>
      </c>
      <c r="J73" s="19">
        <v>12</v>
      </c>
      <c r="K73" s="21">
        <f t="shared" si="6"/>
        <v>29216.379452054796</v>
      </c>
      <c r="L73" s="21"/>
      <c r="M73" s="21">
        <f t="shared" si="7"/>
        <v>242495.9494520548</v>
      </c>
    </row>
    <row r="74" spans="1:13" ht="15">
      <c r="A74" s="18" t="s">
        <v>187</v>
      </c>
      <c r="B74" s="18" t="s">
        <v>134</v>
      </c>
      <c r="C74" s="18"/>
      <c r="D74" s="19">
        <v>40</v>
      </c>
      <c r="E74" s="19" t="s">
        <v>27</v>
      </c>
      <c r="F74" s="19" t="s">
        <v>20</v>
      </c>
      <c r="G74" s="19">
        <v>1</v>
      </c>
      <c r="H74" s="100">
        <f>6438.39*1.05</f>
        <v>6760.3095</v>
      </c>
      <c r="I74" s="21">
        <f t="shared" si="5"/>
        <v>81123.714</v>
      </c>
      <c r="J74" s="19">
        <v>12</v>
      </c>
      <c r="K74" s="21">
        <f t="shared" si="6"/>
        <v>11112.837534246575</v>
      </c>
      <c r="L74" s="21"/>
      <c r="M74" s="21">
        <f t="shared" si="7"/>
        <v>92236.55153424658</v>
      </c>
    </row>
    <row r="75" spans="1:13" ht="15">
      <c r="A75" s="18" t="s">
        <v>187</v>
      </c>
      <c r="B75" s="18" t="s">
        <v>134</v>
      </c>
      <c r="C75" s="18"/>
      <c r="D75" s="19">
        <v>40</v>
      </c>
      <c r="E75" s="19" t="s">
        <v>27</v>
      </c>
      <c r="F75" s="19" t="s">
        <v>20</v>
      </c>
      <c r="G75" s="19">
        <v>1</v>
      </c>
      <c r="H75" s="100">
        <f>9252.39*1.05</f>
        <v>9715.0095</v>
      </c>
      <c r="I75" s="21">
        <f t="shared" si="5"/>
        <v>116580.114</v>
      </c>
      <c r="J75" s="19">
        <v>12</v>
      </c>
      <c r="K75" s="21">
        <f t="shared" si="6"/>
        <v>15969.878630136987</v>
      </c>
      <c r="L75" s="21"/>
      <c r="M75" s="21">
        <f t="shared" si="7"/>
        <v>132549.99263013699</v>
      </c>
    </row>
    <row r="76" spans="1:13" ht="15">
      <c r="A76" s="18" t="s">
        <v>240</v>
      </c>
      <c r="B76" s="18" t="s">
        <v>241</v>
      </c>
      <c r="C76" s="18"/>
      <c r="D76" s="19">
        <v>40</v>
      </c>
      <c r="E76" s="19" t="s">
        <v>19</v>
      </c>
      <c r="F76" s="19" t="s">
        <v>20</v>
      </c>
      <c r="G76" s="19">
        <v>0</v>
      </c>
      <c r="H76" s="100">
        <v>15458.84</v>
      </c>
      <c r="I76" s="21">
        <f>+H76*J76</f>
        <v>15458.84</v>
      </c>
      <c r="J76" s="19">
        <v>1</v>
      </c>
      <c r="K76" s="21">
        <f>+I76/365*50</f>
        <v>2117.649315068493</v>
      </c>
      <c r="L76" s="21"/>
      <c r="M76" s="21">
        <f>+I76+K76</f>
        <v>17576.489315068495</v>
      </c>
    </row>
    <row r="77" spans="1:13" ht="15">
      <c r="A77" s="18" t="s">
        <v>240</v>
      </c>
      <c r="B77" s="18" t="s">
        <v>241</v>
      </c>
      <c r="C77" s="18"/>
      <c r="D77" s="19">
        <v>40</v>
      </c>
      <c r="E77" s="19" t="s">
        <v>19</v>
      </c>
      <c r="F77" s="19" t="s">
        <v>20</v>
      </c>
      <c r="G77" s="19">
        <v>1</v>
      </c>
      <c r="H77" s="100">
        <v>15709.4</v>
      </c>
      <c r="I77" s="21">
        <f t="shared" si="5"/>
        <v>172803.4</v>
      </c>
      <c r="J77" s="19">
        <v>11</v>
      </c>
      <c r="K77" s="21">
        <f t="shared" si="6"/>
        <v>23671.698630136983</v>
      </c>
      <c r="L77" s="21"/>
      <c r="M77" s="21">
        <f t="shared" si="7"/>
        <v>196475.09863013698</v>
      </c>
    </row>
    <row r="78" spans="1:13" ht="15">
      <c r="A78" s="18" t="s">
        <v>38</v>
      </c>
      <c r="B78" s="18" t="s">
        <v>143</v>
      </c>
      <c r="C78" s="18"/>
      <c r="D78" s="19">
        <v>40</v>
      </c>
      <c r="E78" s="19" t="s">
        <v>19</v>
      </c>
      <c r="F78" s="19" t="s">
        <v>20</v>
      </c>
      <c r="G78" s="19">
        <v>1</v>
      </c>
      <c r="H78" s="100">
        <v>21840.52</v>
      </c>
      <c r="I78" s="21">
        <f t="shared" si="5"/>
        <v>262086.24</v>
      </c>
      <c r="J78" s="19">
        <v>12</v>
      </c>
      <c r="K78" s="21">
        <f t="shared" si="6"/>
        <v>35902.22465753425</v>
      </c>
      <c r="L78" s="21"/>
      <c r="M78" s="21">
        <f t="shared" si="7"/>
        <v>297988.46465753426</v>
      </c>
    </row>
    <row r="79" spans="1:13" ht="15">
      <c r="A79" s="18" t="s">
        <v>227</v>
      </c>
      <c r="B79" s="18" t="s">
        <v>143</v>
      </c>
      <c r="C79" s="18"/>
      <c r="D79" s="19">
        <v>40</v>
      </c>
      <c r="E79" s="19" t="s">
        <v>19</v>
      </c>
      <c r="F79" s="19" t="s">
        <v>20</v>
      </c>
      <c r="G79" s="19">
        <v>1</v>
      </c>
      <c r="H79" s="100">
        <f>14124.6*1.05</f>
        <v>14830.830000000002</v>
      </c>
      <c r="I79" s="21">
        <f t="shared" si="5"/>
        <v>177969.96000000002</v>
      </c>
      <c r="J79" s="19">
        <v>12</v>
      </c>
      <c r="K79" s="21">
        <f t="shared" si="6"/>
        <v>24379.446575342467</v>
      </c>
      <c r="L79" s="21"/>
      <c r="M79" s="21">
        <f t="shared" si="7"/>
        <v>202349.4065753425</v>
      </c>
    </row>
    <row r="80" spans="1:13" ht="15">
      <c r="A80" s="18" t="s">
        <v>144</v>
      </c>
      <c r="B80" s="18" t="s">
        <v>145</v>
      </c>
      <c r="C80" s="18"/>
      <c r="D80" s="19">
        <v>40</v>
      </c>
      <c r="E80" s="19" t="s">
        <v>27</v>
      </c>
      <c r="F80" s="19" t="s">
        <v>20</v>
      </c>
      <c r="G80" s="19">
        <v>1</v>
      </c>
      <c r="H80" s="100">
        <v>9382.4</v>
      </c>
      <c r="I80" s="21">
        <f t="shared" si="5"/>
        <v>112588.79999999999</v>
      </c>
      <c r="J80" s="19">
        <v>12</v>
      </c>
      <c r="K80" s="21">
        <f t="shared" si="6"/>
        <v>15423.123287671231</v>
      </c>
      <c r="L80" s="21"/>
      <c r="M80" s="21">
        <f t="shared" si="7"/>
        <v>128011.92328767122</v>
      </c>
    </row>
    <row r="81" spans="1:13" ht="15">
      <c r="A81" s="18" t="s">
        <v>144</v>
      </c>
      <c r="B81" s="18" t="s">
        <v>145</v>
      </c>
      <c r="C81" s="18"/>
      <c r="D81" s="19">
        <v>40</v>
      </c>
      <c r="E81" s="19" t="s">
        <v>27</v>
      </c>
      <c r="F81" s="19" t="s">
        <v>20</v>
      </c>
      <c r="G81" s="19">
        <v>1</v>
      </c>
      <c r="H81" s="100">
        <v>7980.66</v>
      </c>
      <c r="I81" s="21">
        <f t="shared" si="5"/>
        <v>95767.92</v>
      </c>
      <c r="J81" s="19">
        <v>12</v>
      </c>
      <c r="K81" s="21">
        <f t="shared" si="6"/>
        <v>13118.893150684931</v>
      </c>
      <c r="L81" s="21"/>
      <c r="M81" s="21">
        <f t="shared" si="7"/>
        <v>108886.81315068493</v>
      </c>
    </row>
    <row r="82" spans="1:13" ht="15">
      <c r="A82" s="18" t="s">
        <v>144</v>
      </c>
      <c r="B82" s="18" t="s">
        <v>145</v>
      </c>
      <c r="C82" s="18"/>
      <c r="D82" s="19">
        <v>40</v>
      </c>
      <c r="E82" s="19" t="s">
        <v>27</v>
      </c>
      <c r="F82" s="19" t="s">
        <v>20</v>
      </c>
      <c r="G82" s="19">
        <v>1</v>
      </c>
      <c r="H82" s="100">
        <f>6897.64*1.05</f>
        <v>7242.522000000001</v>
      </c>
      <c r="I82" s="21">
        <f t="shared" si="5"/>
        <v>86910.26400000001</v>
      </c>
      <c r="J82" s="19">
        <v>12</v>
      </c>
      <c r="K82" s="21">
        <f t="shared" si="6"/>
        <v>11905.515616438357</v>
      </c>
      <c r="L82" s="21"/>
      <c r="M82" s="21">
        <f t="shared" si="7"/>
        <v>98815.77961643836</v>
      </c>
    </row>
    <row r="83" spans="1:13" ht="15">
      <c r="A83" s="18" t="s">
        <v>144</v>
      </c>
      <c r="B83" s="18" t="s">
        <v>145</v>
      </c>
      <c r="C83" s="18"/>
      <c r="D83" s="19">
        <v>40</v>
      </c>
      <c r="E83" s="19" t="s">
        <v>27</v>
      </c>
      <c r="F83" s="19" t="s">
        <v>20</v>
      </c>
      <c r="G83" s="19">
        <v>1</v>
      </c>
      <c r="H83" s="100">
        <v>8408.64</v>
      </c>
      <c r="I83" s="21">
        <f t="shared" si="5"/>
        <v>100903.68</v>
      </c>
      <c r="J83" s="19">
        <v>12</v>
      </c>
      <c r="K83" s="21">
        <f t="shared" si="6"/>
        <v>13822.42191780822</v>
      </c>
      <c r="L83" s="21"/>
      <c r="M83" s="21">
        <f t="shared" si="7"/>
        <v>114726.1019178082</v>
      </c>
    </row>
    <row r="84" spans="1:13" ht="15">
      <c r="A84" s="18" t="s">
        <v>144</v>
      </c>
      <c r="B84" s="18" t="s">
        <v>145</v>
      </c>
      <c r="C84" s="18"/>
      <c r="D84" s="19">
        <v>40</v>
      </c>
      <c r="E84" s="19" t="s">
        <v>27</v>
      </c>
      <c r="F84" s="19" t="s">
        <v>20</v>
      </c>
      <c r="G84" s="19">
        <v>1</v>
      </c>
      <c r="H84" s="100">
        <f>6897.64*1.05</f>
        <v>7242.522000000001</v>
      </c>
      <c r="I84" s="21">
        <f t="shared" si="5"/>
        <v>86910.26400000001</v>
      </c>
      <c r="J84" s="19">
        <v>12</v>
      </c>
      <c r="K84" s="21">
        <f t="shared" si="6"/>
        <v>11905.515616438357</v>
      </c>
      <c r="L84" s="21"/>
      <c r="M84" s="21">
        <f t="shared" si="7"/>
        <v>98815.77961643836</v>
      </c>
    </row>
    <row r="85" spans="1:13" ht="15">
      <c r="A85" s="18" t="s">
        <v>144</v>
      </c>
      <c r="B85" s="18" t="s">
        <v>145</v>
      </c>
      <c r="C85" s="18"/>
      <c r="D85" s="19">
        <v>40</v>
      </c>
      <c r="E85" s="19" t="s">
        <v>27</v>
      </c>
      <c r="F85" s="19" t="s">
        <v>20</v>
      </c>
      <c r="G85" s="19">
        <v>1</v>
      </c>
      <c r="H85" s="100">
        <f>6718*1.05</f>
        <v>7053.900000000001</v>
      </c>
      <c r="I85" s="21">
        <f t="shared" si="5"/>
        <v>84646.8</v>
      </c>
      <c r="J85" s="19">
        <v>12</v>
      </c>
      <c r="K85" s="21">
        <f t="shared" si="6"/>
        <v>11595.452054794521</v>
      </c>
      <c r="L85" s="21"/>
      <c r="M85" s="21">
        <f t="shared" si="7"/>
        <v>96242.25205479452</v>
      </c>
    </row>
    <row r="86" spans="1:13" ht="15">
      <c r="A86" s="18" t="s">
        <v>144</v>
      </c>
      <c r="B86" s="18" t="s">
        <v>145</v>
      </c>
      <c r="C86" s="18"/>
      <c r="D86" s="19">
        <v>40</v>
      </c>
      <c r="E86" s="19" t="s">
        <v>27</v>
      </c>
      <c r="F86" s="19" t="s">
        <v>20</v>
      </c>
      <c r="G86" s="19">
        <v>1</v>
      </c>
      <c r="H86" s="100">
        <v>7980.66</v>
      </c>
      <c r="I86" s="21">
        <f t="shared" si="5"/>
        <v>95767.92</v>
      </c>
      <c r="J86" s="19">
        <v>12</v>
      </c>
      <c r="K86" s="21">
        <f t="shared" si="6"/>
        <v>13118.893150684931</v>
      </c>
      <c r="L86" s="21"/>
      <c r="M86" s="21">
        <f t="shared" si="7"/>
        <v>108886.81315068493</v>
      </c>
    </row>
    <row r="87" spans="1:13" ht="15">
      <c r="A87" s="18" t="s">
        <v>144</v>
      </c>
      <c r="B87" s="18" t="s">
        <v>145</v>
      </c>
      <c r="C87" s="18"/>
      <c r="D87" s="19">
        <v>40</v>
      </c>
      <c r="E87" s="19" t="s">
        <v>27</v>
      </c>
      <c r="F87" s="19" t="s">
        <v>20</v>
      </c>
      <c r="G87" s="19">
        <v>1</v>
      </c>
      <c r="H87" s="100">
        <v>7980.66</v>
      </c>
      <c r="I87" s="21">
        <f t="shared" si="5"/>
        <v>95767.92</v>
      </c>
      <c r="J87" s="19">
        <v>12</v>
      </c>
      <c r="K87" s="21">
        <f t="shared" si="6"/>
        <v>13118.893150684931</v>
      </c>
      <c r="L87" s="21"/>
      <c r="M87" s="21">
        <f t="shared" si="7"/>
        <v>108886.81315068493</v>
      </c>
    </row>
    <row r="88" spans="1:13" ht="15">
      <c r="A88" s="18" t="s">
        <v>144</v>
      </c>
      <c r="B88" s="18" t="s">
        <v>145</v>
      </c>
      <c r="C88" s="18"/>
      <c r="D88" s="19">
        <v>40</v>
      </c>
      <c r="E88" s="19" t="s">
        <v>27</v>
      </c>
      <c r="F88" s="19" t="s">
        <v>20</v>
      </c>
      <c r="G88" s="19">
        <v>1</v>
      </c>
      <c r="H88" s="100">
        <f>7600.6*1.05</f>
        <v>7980.630000000001</v>
      </c>
      <c r="I88" s="21">
        <f t="shared" si="5"/>
        <v>95767.56000000001</v>
      </c>
      <c r="J88" s="19">
        <v>12</v>
      </c>
      <c r="K88" s="21">
        <f t="shared" si="6"/>
        <v>13118.84383561644</v>
      </c>
      <c r="L88" s="21"/>
      <c r="M88" s="21">
        <f t="shared" si="7"/>
        <v>108886.40383561645</v>
      </c>
    </row>
    <row r="89" spans="1:13" ht="15">
      <c r="A89" s="18" t="s">
        <v>53</v>
      </c>
      <c r="B89" s="18" t="s">
        <v>145</v>
      </c>
      <c r="C89" s="18"/>
      <c r="D89" s="19">
        <v>40</v>
      </c>
      <c r="E89" s="19" t="s">
        <v>27</v>
      </c>
      <c r="F89" s="19" t="s">
        <v>20</v>
      </c>
      <c r="G89" s="19">
        <v>1</v>
      </c>
      <c r="H89" s="100">
        <f>10863.6*1.05</f>
        <v>11406.78</v>
      </c>
      <c r="I89" s="21">
        <f t="shared" si="5"/>
        <v>136881.36000000002</v>
      </c>
      <c r="J89" s="19">
        <v>12</v>
      </c>
      <c r="K89" s="21">
        <f t="shared" si="6"/>
        <v>18750.871232876714</v>
      </c>
      <c r="L89" s="21"/>
      <c r="M89" s="21">
        <f t="shared" si="7"/>
        <v>155632.23123287671</v>
      </c>
    </row>
    <row r="90" spans="1:13" ht="15">
      <c r="A90" s="18" t="s">
        <v>53</v>
      </c>
      <c r="B90" s="18" t="s">
        <v>145</v>
      </c>
      <c r="C90" s="18"/>
      <c r="D90" s="19">
        <v>40</v>
      </c>
      <c r="E90" s="19" t="s">
        <v>27</v>
      </c>
      <c r="F90" s="19" t="s">
        <v>20</v>
      </c>
      <c r="G90" s="19">
        <v>1</v>
      </c>
      <c r="H90" s="100">
        <f>8527.66*1.05</f>
        <v>8954.043</v>
      </c>
      <c r="I90" s="21">
        <f t="shared" si="5"/>
        <v>107448.516</v>
      </c>
      <c r="J90" s="19">
        <v>12</v>
      </c>
      <c r="K90" s="21">
        <f t="shared" si="6"/>
        <v>14718.974794520549</v>
      </c>
      <c r="L90" s="21"/>
      <c r="M90" s="21">
        <f t="shared" si="7"/>
        <v>122167.49079452055</v>
      </c>
    </row>
    <row r="91" spans="1:13" ht="15">
      <c r="A91" s="18" t="s">
        <v>53</v>
      </c>
      <c r="B91" s="18" t="s">
        <v>145</v>
      </c>
      <c r="C91" s="18"/>
      <c r="D91" s="19">
        <v>40</v>
      </c>
      <c r="E91" s="19" t="s">
        <v>27</v>
      </c>
      <c r="F91" s="19" t="s">
        <v>20</v>
      </c>
      <c r="G91" s="19">
        <v>1</v>
      </c>
      <c r="H91" s="100">
        <v>9125.61</v>
      </c>
      <c r="I91" s="21">
        <f t="shared" si="5"/>
        <v>109507.32</v>
      </c>
      <c r="J91" s="19">
        <v>12</v>
      </c>
      <c r="K91" s="21">
        <f t="shared" si="6"/>
        <v>15001.002739726027</v>
      </c>
      <c r="L91" s="21"/>
      <c r="M91" s="21">
        <f t="shared" si="7"/>
        <v>124508.32273972603</v>
      </c>
    </row>
    <row r="92" spans="1:13" ht="15">
      <c r="A92" s="18" t="s">
        <v>53</v>
      </c>
      <c r="B92" s="18" t="s">
        <v>145</v>
      </c>
      <c r="C92" s="18"/>
      <c r="D92" s="19">
        <v>40</v>
      </c>
      <c r="E92" s="19" t="s">
        <v>27</v>
      </c>
      <c r="F92" s="19" t="s">
        <v>20</v>
      </c>
      <c r="G92" s="19">
        <v>1</v>
      </c>
      <c r="H92" s="100">
        <v>7980.66</v>
      </c>
      <c r="I92" s="21">
        <f t="shared" si="5"/>
        <v>95767.92</v>
      </c>
      <c r="J92" s="19">
        <v>12</v>
      </c>
      <c r="K92" s="21">
        <f t="shared" si="6"/>
        <v>13118.893150684931</v>
      </c>
      <c r="L92" s="21"/>
      <c r="M92" s="21">
        <f t="shared" si="7"/>
        <v>108886.81315068493</v>
      </c>
    </row>
    <row r="93" spans="1:13" ht="15">
      <c r="A93" s="18" t="s">
        <v>53</v>
      </c>
      <c r="B93" s="18" t="s">
        <v>145</v>
      </c>
      <c r="C93" s="18"/>
      <c r="D93" s="19">
        <v>40</v>
      </c>
      <c r="E93" s="19" t="s">
        <v>27</v>
      </c>
      <c r="F93" s="19" t="s">
        <v>20</v>
      </c>
      <c r="G93" s="19">
        <v>1</v>
      </c>
      <c r="H93" s="100">
        <v>7980.66</v>
      </c>
      <c r="I93" s="21">
        <f t="shared" si="5"/>
        <v>95767.92</v>
      </c>
      <c r="J93" s="19">
        <v>12</v>
      </c>
      <c r="K93" s="21">
        <f t="shared" si="6"/>
        <v>13118.893150684931</v>
      </c>
      <c r="L93" s="21"/>
      <c r="M93" s="21">
        <f t="shared" si="7"/>
        <v>108886.81315068493</v>
      </c>
    </row>
    <row r="94" spans="1:13" ht="15">
      <c r="A94" s="18" t="s">
        <v>53</v>
      </c>
      <c r="B94" s="18" t="s">
        <v>145</v>
      </c>
      <c r="C94" s="18"/>
      <c r="D94" s="19">
        <v>40</v>
      </c>
      <c r="E94" s="19" t="s">
        <v>27</v>
      </c>
      <c r="F94" s="19" t="s">
        <v>20</v>
      </c>
      <c r="G94" s="19">
        <v>1</v>
      </c>
      <c r="H94" s="100">
        <f>6696.82*1.05</f>
        <v>7031.661</v>
      </c>
      <c r="I94" s="21">
        <f t="shared" si="5"/>
        <v>84379.932</v>
      </c>
      <c r="J94" s="19">
        <v>12</v>
      </c>
      <c r="K94" s="21">
        <f t="shared" si="6"/>
        <v>11558.894794520547</v>
      </c>
      <c r="L94" s="21"/>
      <c r="M94" s="21">
        <f t="shared" si="7"/>
        <v>95938.82679452054</v>
      </c>
    </row>
    <row r="95" spans="1:13" ht="15">
      <c r="A95" s="18" t="s">
        <v>112</v>
      </c>
      <c r="B95" s="18" t="s">
        <v>145</v>
      </c>
      <c r="C95" s="18"/>
      <c r="D95" s="19">
        <v>40</v>
      </c>
      <c r="E95" s="19" t="s">
        <v>27</v>
      </c>
      <c r="F95" s="19" t="s">
        <v>20</v>
      </c>
      <c r="G95" s="19">
        <v>1</v>
      </c>
      <c r="H95" s="100">
        <f>10864*1.05</f>
        <v>11407.2</v>
      </c>
      <c r="I95" s="21">
        <f t="shared" si="5"/>
        <v>136886.40000000002</v>
      </c>
      <c r="J95" s="19">
        <v>12</v>
      </c>
      <c r="K95" s="21">
        <f t="shared" si="6"/>
        <v>18751.56164383562</v>
      </c>
      <c r="L95" s="21"/>
      <c r="M95" s="21">
        <f t="shared" si="7"/>
        <v>155637.96164383565</v>
      </c>
    </row>
    <row r="96" spans="1:13" ht="15">
      <c r="A96" s="18" t="s">
        <v>130</v>
      </c>
      <c r="B96" s="18" t="s">
        <v>131</v>
      </c>
      <c r="C96" s="18"/>
      <c r="D96" s="19">
        <v>40</v>
      </c>
      <c r="E96" s="19" t="s">
        <v>19</v>
      </c>
      <c r="F96" s="19" t="s">
        <v>20</v>
      </c>
      <c r="G96" s="19">
        <v>1</v>
      </c>
      <c r="H96" s="100">
        <f>20951.7*1.05</f>
        <v>21999.285000000003</v>
      </c>
      <c r="I96" s="21">
        <f t="shared" si="5"/>
        <v>263991.42000000004</v>
      </c>
      <c r="J96" s="19">
        <v>12</v>
      </c>
      <c r="K96" s="21">
        <f t="shared" si="6"/>
        <v>36163.20821917809</v>
      </c>
      <c r="L96" s="21"/>
      <c r="M96" s="21">
        <f t="shared" si="7"/>
        <v>300154.6282191781</v>
      </c>
    </row>
    <row r="97" spans="1:13" ht="15">
      <c r="A97" s="18" t="s">
        <v>132</v>
      </c>
      <c r="B97" s="18" t="s">
        <v>131</v>
      </c>
      <c r="C97" s="18"/>
      <c r="D97" s="19">
        <v>40</v>
      </c>
      <c r="E97" s="19" t="s">
        <v>19</v>
      </c>
      <c r="F97" s="19" t="s">
        <v>20</v>
      </c>
      <c r="G97" s="19">
        <v>1</v>
      </c>
      <c r="H97" s="100">
        <f>17935*1.05</f>
        <v>18831.75</v>
      </c>
      <c r="I97" s="21">
        <f t="shared" si="5"/>
        <v>225981</v>
      </c>
      <c r="J97" s="19">
        <v>12</v>
      </c>
      <c r="K97" s="21">
        <f t="shared" si="6"/>
        <v>30956.301369863013</v>
      </c>
      <c r="L97" s="21"/>
      <c r="M97" s="21">
        <f t="shared" si="7"/>
        <v>256937.301369863</v>
      </c>
    </row>
    <row r="98" spans="1:13" ht="15">
      <c r="A98" s="18" t="s">
        <v>206</v>
      </c>
      <c r="B98" s="18" t="s">
        <v>131</v>
      </c>
      <c r="C98" s="18"/>
      <c r="D98" s="19">
        <v>40</v>
      </c>
      <c r="E98" s="19" t="s">
        <v>19</v>
      </c>
      <c r="F98" s="19" t="s">
        <v>20</v>
      </c>
      <c r="G98" s="19">
        <v>1</v>
      </c>
      <c r="H98" s="100">
        <v>15888.14</v>
      </c>
      <c r="I98" s="21">
        <f t="shared" si="5"/>
        <v>190657.68</v>
      </c>
      <c r="J98" s="19">
        <v>12</v>
      </c>
      <c r="K98" s="21">
        <f t="shared" si="6"/>
        <v>26117.4904109589</v>
      </c>
      <c r="L98" s="21"/>
      <c r="M98" s="21">
        <f t="shared" si="7"/>
        <v>216775.1704109589</v>
      </c>
    </row>
    <row r="99" spans="1:13" ht="15">
      <c r="A99" s="18" t="s">
        <v>131</v>
      </c>
      <c r="B99" s="18" t="s">
        <v>131</v>
      </c>
      <c r="C99" s="18"/>
      <c r="D99" s="19">
        <v>40</v>
      </c>
      <c r="E99" s="19" t="s">
        <v>19</v>
      </c>
      <c r="F99" s="19" t="s">
        <v>20</v>
      </c>
      <c r="G99" s="19">
        <v>1</v>
      </c>
      <c r="H99" s="100">
        <v>18831.76</v>
      </c>
      <c r="I99" s="21">
        <f t="shared" si="5"/>
        <v>225981.12</v>
      </c>
      <c r="J99" s="19">
        <v>12</v>
      </c>
      <c r="K99" s="21">
        <f t="shared" si="6"/>
        <v>30956.317808219177</v>
      </c>
      <c r="L99" s="21"/>
      <c r="M99" s="21">
        <f t="shared" si="7"/>
        <v>256937.43780821917</v>
      </c>
    </row>
    <row r="100" spans="1:13" ht="15">
      <c r="A100" s="18" t="s">
        <v>131</v>
      </c>
      <c r="B100" s="18" t="s">
        <v>131</v>
      </c>
      <c r="C100" s="18"/>
      <c r="D100" s="19">
        <v>40</v>
      </c>
      <c r="E100" s="19" t="s">
        <v>19</v>
      </c>
      <c r="F100" s="19" t="s">
        <v>20</v>
      </c>
      <c r="G100" s="19">
        <v>1</v>
      </c>
      <c r="H100" s="100">
        <v>18831.76</v>
      </c>
      <c r="I100" s="21">
        <f t="shared" si="5"/>
        <v>225981.12</v>
      </c>
      <c r="J100" s="19">
        <v>12</v>
      </c>
      <c r="K100" s="21">
        <f t="shared" si="6"/>
        <v>30956.317808219177</v>
      </c>
      <c r="L100" s="21"/>
      <c r="M100" s="21">
        <f t="shared" si="7"/>
        <v>256937.43780821917</v>
      </c>
    </row>
    <row r="101" spans="1:13" ht="15">
      <c r="A101" s="18" t="s">
        <v>131</v>
      </c>
      <c r="B101" s="18" t="s">
        <v>131</v>
      </c>
      <c r="C101" s="18"/>
      <c r="D101" s="19">
        <v>40</v>
      </c>
      <c r="E101" s="19" t="s">
        <v>27</v>
      </c>
      <c r="F101" s="19" t="s">
        <v>20</v>
      </c>
      <c r="G101" s="19">
        <v>1</v>
      </c>
      <c r="H101" s="100">
        <v>18831.76</v>
      </c>
      <c r="I101" s="21">
        <f t="shared" si="5"/>
        <v>225981.12</v>
      </c>
      <c r="J101" s="19">
        <v>12</v>
      </c>
      <c r="K101" s="21">
        <f t="shared" si="6"/>
        <v>30956.317808219177</v>
      </c>
      <c r="L101" s="21"/>
      <c r="M101" s="21">
        <f t="shared" si="7"/>
        <v>256937.43780821917</v>
      </c>
    </row>
    <row r="102" spans="1:13" ht="15">
      <c r="A102" s="18" t="s">
        <v>176</v>
      </c>
      <c r="B102" s="18" t="s">
        <v>138</v>
      </c>
      <c r="C102" s="18"/>
      <c r="D102" s="19">
        <v>40</v>
      </c>
      <c r="E102" s="19" t="s">
        <v>19</v>
      </c>
      <c r="F102" s="19" t="s">
        <v>20</v>
      </c>
      <c r="G102" s="19">
        <v>1</v>
      </c>
      <c r="H102" s="100">
        <f>13721.23*1.05</f>
        <v>14407.2915</v>
      </c>
      <c r="I102" s="21">
        <f t="shared" si="5"/>
        <v>172887.498</v>
      </c>
      <c r="J102" s="19">
        <v>12</v>
      </c>
      <c r="K102" s="21">
        <f t="shared" si="6"/>
        <v>23683.218904109588</v>
      </c>
      <c r="L102" s="21"/>
      <c r="M102" s="21">
        <f t="shared" si="7"/>
        <v>196570.71690410958</v>
      </c>
    </row>
    <row r="103" spans="1:13" ht="15">
      <c r="A103" s="18" t="s">
        <v>188</v>
      </c>
      <c r="B103" s="18" t="s">
        <v>138</v>
      </c>
      <c r="C103" s="18"/>
      <c r="D103" s="19">
        <v>40</v>
      </c>
      <c r="E103" s="19" t="s">
        <v>27</v>
      </c>
      <c r="F103" s="19" t="s">
        <v>20</v>
      </c>
      <c r="G103" s="19">
        <v>1</v>
      </c>
      <c r="H103" s="100">
        <v>6223.2</v>
      </c>
      <c r="I103" s="21">
        <f t="shared" si="5"/>
        <v>74678.4</v>
      </c>
      <c r="J103" s="19">
        <v>12</v>
      </c>
      <c r="K103" s="21">
        <f t="shared" si="6"/>
        <v>10229.917808219177</v>
      </c>
      <c r="L103" s="21"/>
      <c r="M103" s="21">
        <f t="shared" si="7"/>
        <v>84908.31780821917</v>
      </c>
    </row>
    <row r="104" spans="1:13" ht="15">
      <c r="A104" s="18" t="s">
        <v>188</v>
      </c>
      <c r="B104" s="18" t="s">
        <v>138</v>
      </c>
      <c r="C104" s="18"/>
      <c r="D104" s="19">
        <v>40</v>
      </c>
      <c r="E104" s="19" t="s">
        <v>27</v>
      </c>
      <c r="F104" s="19" t="s">
        <v>20</v>
      </c>
      <c r="G104" s="19">
        <v>1</v>
      </c>
      <c r="H104" s="100">
        <f>7003.92*1.05</f>
        <v>7354.116</v>
      </c>
      <c r="I104" s="21">
        <f t="shared" si="5"/>
        <v>88249.39199999999</v>
      </c>
      <c r="J104" s="19">
        <v>12</v>
      </c>
      <c r="K104" s="21">
        <f t="shared" si="6"/>
        <v>12088.957808219178</v>
      </c>
      <c r="L104" s="21"/>
      <c r="M104" s="21">
        <f t="shared" si="7"/>
        <v>100338.34980821917</v>
      </c>
    </row>
    <row r="105" spans="1:13" ht="15">
      <c r="A105" s="18" t="s">
        <v>174</v>
      </c>
      <c r="B105" s="18" t="s">
        <v>135</v>
      </c>
      <c r="C105" s="18"/>
      <c r="D105" s="19">
        <v>40</v>
      </c>
      <c r="E105" s="19" t="s">
        <v>19</v>
      </c>
      <c r="F105" s="19" t="s">
        <v>20</v>
      </c>
      <c r="G105" s="19">
        <v>1</v>
      </c>
      <c r="H105" s="100">
        <f>12178.36*1.05</f>
        <v>12787.278</v>
      </c>
      <c r="I105" s="21">
        <f t="shared" si="5"/>
        <v>153447.336</v>
      </c>
      <c r="J105" s="19">
        <v>12</v>
      </c>
      <c r="K105" s="21">
        <f t="shared" si="6"/>
        <v>21020.183013698632</v>
      </c>
      <c r="L105" s="21"/>
      <c r="M105" s="21">
        <f t="shared" si="7"/>
        <v>174467.51901369865</v>
      </c>
    </row>
    <row r="106" spans="1:13" ht="15">
      <c r="A106" s="18" t="s">
        <v>133</v>
      </c>
      <c r="B106" s="18" t="s">
        <v>135</v>
      </c>
      <c r="C106" s="18"/>
      <c r="D106" s="19">
        <v>40</v>
      </c>
      <c r="E106" s="19" t="s">
        <v>19</v>
      </c>
      <c r="F106" s="19" t="s">
        <v>20</v>
      </c>
      <c r="G106" s="19">
        <v>1</v>
      </c>
      <c r="H106" s="100">
        <f>17459.48*1.05</f>
        <v>18332.454</v>
      </c>
      <c r="I106" s="21">
        <f t="shared" si="5"/>
        <v>219989.44800000003</v>
      </c>
      <c r="J106" s="19">
        <v>12</v>
      </c>
      <c r="K106" s="21">
        <f t="shared" si="6"/>
        <v>30135.540821917813</v>
      </c>
      <c r="L106" s="21"/>
      <c r="M106" s="21">
        <f t="shared" si="7"/>
        <v>250124.98882191785</v>
      </c>
    </row>
    <row r="107" spans="1:13" ht="15">
      <c r="A107" s="18" t="s">
        <v>136</v>
      </c>
      <c r="B107" s="18" t="s">
        <v>135</v>
      </c>
      <c r="C107" s="18"/>
      <c r="D107" s="19">
        <v>40</v>
      </c>
      <c r="E107" s="19" t="s">
        <v>19</v>
      </c>
      <c r="F107" s="19" t="s">
        <v>20</v>
      </c>
      <c r="G107" s="19">
        <v>1</v>
      </c>
      <c r="H107" s="100">
        <v>15888.14</v>
      </c>
      <c r="I107" s="21">
        <f t="shared" si="5"/>
        <v>190657.68</v>
      </c>
      <c r="J107" s="19">
        <v>12</v>
      </c>
      <c r="K107" s="21">
        <f t="shared" si="6"/>
        <v>26117.4904109589</v>
      </c>
      <c r="L107" s="21"/>
      <c r="M107" s="21">
        <f t="shared" si="7"/>
        <v>216775.1704109589</v>
      </c>
    </row>
    <row r="108" spans="1:13" ht="15">
      <c r="A108" s="18" t="s">
        <v>228</v>
      </c>
      <c r="B108" s="18" t="s">
        <v>135</v>
      </c>
      <c r="C108" s="18"/>
      <c r="D108" s="19">
        <v>40</v>
      </c>
      <c r="E108" s="19" t="s">
        <v>19</v>
      </c>
      <c r="F108" s="19" t="s">
        <v>20</v>
      </c>
      <c r="G108" s="19">
        <v>1</v>
      </c>
      <c r="H108" s="100">
        <v>11276.71</v>
      </c>
      <c r="I108" s="21">
        <f t="shared" si="5"/>
        <v>135320.52</v>
      </c>
      <c r="J108" s="19">
        <v>12</v>
      </c>
      <c r="K108" s="21">
        <f t="shared" si="6"/>
        <v>18537.057534246575</v>
      </c>
      <c r="L108" s="21"/>
      <c r="M108" s="21">
        <f t="shared" si="7"/>
        <v>153857.57753424655</v>
      </c>
    </row>
    <row r="109" spans="1:13" ht="15">
      <c r="A109" s="18" t="s">
        <v>229</v>
      </c>
      <c r="B109" s="18" t="s">
        <v>135</v>
      </c>
      <c r="C109" s="18"/>
      <c r="D109" s="19">
        <v>40</v>
      </c>
      <c r="E109" s="19" t="s">
        <v>19</v>
      </c>
      <c r="F109" s="19" t="s">
        <v>20</v>
      </c>
      <c r="G109" s="19">
        <v>1</v>
      </c>
      <c r="H109" s="100">
        <f>15132.6*1.05</f>
        <v>15889.230000000001</v>
      </c>
      <c r="I109" s="21">
        <f t="shared" si="5"/>
        <v>190670.76</v>
      </c>
      <c r="J109" s="19">
        <v>12</v>
      </c>
      <c r="K109" s="21">
        <f t="shared" si="6"/>
        <v>26119.282191780825</v>
      </c>
      <c r="L109" s="21"/>
      <c r="M109" s="21">
        <f t="shared" si="7"/>
        <v>216790.04219178084</v>
      </c>
    </row>
    <row r="110" spans="1:13" ht="15">
      <c r="A110" s="18" t="s">
        <v>175</v>
      </c>
      <c r="B110" s="18" t="s">
        <v>135</v>
      </c>
      <c r="C110" s="18"/>
      <c r="D110" s="19">
        <v>40</v>
      </c>
      <c r="E110" s="19" t="s">
        <v>19</v>
      </c>
      <c r="F110" s="19" t="s">
        <v>20</v>
      </c>
      <c r="G110" s="19">
        <v>1</v>
      </c>
      <c r="H110" s="100">
        <f>12921.87*1.05</f>
        <v>13567.963500000002</v>
      </c>
      <c r="I110" s="21">
        <f t="shared" si="5"/>
        <v>162815.56200000003</v>
      </c>
      <c r="J110" s="19">
        <v>12</v>
      </c>
      <c r="K110" s="21">
        <f t="shared" si="6"/>
        <v>22303.50164383562</v>
      </c>
      <c r="L110" s="21"/>
      <c r="M110" s="21">
        <f t="shared" si="7"/>
        <v>185119.06364383566</v>
      </c>
    </row>
    <row r="111" spans="1:13" ht="15">
      <c r="A111" s="18" t="s">
        <v>112</v>
      </c>
      <c r="B111" s="18" t="s">
        <v>135</v>
      </c>
      <c r="C111" s="18"/>
      <c r="D111" s="19">
        <v>40</v>
      </c>
      <c r="E111" s="19" t="s">
        <v>27</v>
      </c>
      <c r="F111" s="19" t="s">
        <v>20</v>
      </c>
      <c r="G111" s="19">
        <v>1</v>
      </c>
      <c r="H111" s="100">
        <v>8691.08</v>
      </c>
      <c r="I111" s="21">
        <f t="shared" si="5"/>
        <v>104292.95999999999</v>
      </c>
      <c r="J111" s="19">
        <v>12</v>
      </c>
      <c r="K111" s="21">
        <f t="shared" si="6"/>
        <v>14286.706849315067</v>
      </c>
      <c r="L111" s="21"/>
      <c r="M111" s="21">
        <f t="shared" si="7"/>
        <v>118579.66684931506</v>
      </c>
    </row>
    <row r="112" spans="1:13" ht="15">
      <c r="A112" s="18" t="s">
        <v>112</v>
      </c>
      <c r="B112" s="18" t="s">
        <v>135</v>
      </c>
      <c r="C112" s="18"/>
      <c r="D112" s="19">
        <v>40</v>
      </c>
      <c r="E112" s="19" t="s">
        <v>27</v>
      </c>
      <c r="F112" s="19" t="s">
        <v>20</v>
      </c>
      <c r="G112" s="19">
        <v>1</v>
      </c>
      <c r="H112" s="100">
        <v>10019.49</v>
      </c>
      <c r="I112" s="21">
        <f t="shared" si="5"/>
        <v>120233.88</v>
      </c>
      <c r="J112" s="19">
        <v>12</v>
      </c>
      <c r="K112" s="21">
        <f t="shared" si="6"/>
        <v>16470.394520547947</v>
      </c>
      <c r="L112" s="21"/>
      <c r="M112" s="21">
        <f t="shared" si="7"/>
        <v>136704.27452054794</v>
      </c>
    </row>
    <row r="113" spans="1:13" ht="15">
      <c r="A113" s="18" t="s">
        <v>137</v>
      </c>
      <c r="B113" s="18" t="s">
        <v>135</v>
      </c>
      <c r="C113" s="18"/>
      <c r="D113" s="19">
        <v>40</v>
      </c>
      <c r="E113" s="19" t="s">
        <v>27</v>
      </c>
      <c r="F113" s="19" t="s">
        <v>20</v>
      </c>
      <c r="G113" s="19">
        <v>1</v>
      </c>
      <c r="H113" s="100">
        <f>9542.39*1.05</f>
        <v>10019.5095</v>
      </c>
      <c r="I113" s="21">
        <f t="shared" si="5"/>
        <v>120234.114</v>
      </c>
      <c r="J113" s="19">
        <v>12</v>
      </c>
      <c r="K113" s="21">
        <f t="shared" si="6"/>
        <v>16470.426575342466</v>
      </c>
      <c r="L113" s="21"/>
      <c r="M113" s="21">
        <f t="shared" si="7"/>
        <v>136704.54057534246</v>
      </c>
    </row>
    <row r="114" spans="1:13" ht="15">
      <c r="A114" s="18" t="s">
        <v>137</v>
      </c>
      <c r="B114" s="18" t="s">
        <v>135</v>
      </c>
      <c r="C114" s="18"/>
      <c r="D114" s="19">
        <v>40</v>
      </c>
      <c r="E114" s="19" t="s">
        <v>27</v>
      </c>
      <c r="F114" s="19" t="s">
        <v>20</v>
      </c>
      <c r="G114" s="19">
        <v>1</v>
      </c>
      <c r="H114" s="100">
        <v>10019.51</v>
      </c>
      <c r="I114" s="21">
        <f t="shared" si="5"/>
        <v>120234.12</v>
      </c>
      <c r="J114" s="19">
        <v>12</v>
      </c>
      <c r="K114" s="21">
        <f t="shared" si="6"/>
        <v>16470.42739726027</v>
      </c>
      <c r="L114" s="21"/>
      <c r="M114" s="21">
        <f t="shared" si="7"/>
        <v>136704.54739726026</v>
      </c>
    </row>
    <row r="115" spans="1:13" ht="15">
      <c r="A115" s="18" t="s">
        <v>53</v>
      </c>
      <c r="B115" s="18" t="s">
        <v>135</v>
      </c>
      <c r="C115" s="18"/>
      <c r="D115" s="19">
        <v>40</v>
      </c>
      <c r="E115" s="19" t="s">
        <v>27</v>
      </c>
      <c r="F115" s="19" t="s">
        <v>20</v>
      </c>
      <c r="G115" s="19">
        <v>1</v>
      </c>
      <c r="H115" s="100">
        <f>15642.17*1.05</f>
        <v>16424.2785</v>
      </c>
      <c r="I115" s="21">
        <f t="shared" si="5"/>
        <v>197091.342</v>
      </c>
      <c r="J115" s="19">
        <v>12</v>
      </c>
      <c r="K115" s="21">
        <f t="shared" si="6"/>
        <v>26998.813972602737</v>
      </c>
      <c r="L115" s="21"/>
      <c r="M115" s="21">
        <f t="shared" si="7"/>
        <v>224090.15597260275</v>
      </c>
    </row>
    <row r="116" spans="1:13" ht="15">
      <c r="A116" s="18" t="s">
        <v>207</v>
      </c>
      <c r="B116" s="18" t="s">
        <v>135</v>
      </c>
      <c r="C116" s="18"/>
      <c r="D116" s="19">
        <v>40</v>
      </c>
      <c r="E116" s="19" t="s">
        <v>27</v>
      </c>
      <c r="F116" s="19" t="s">
        <v>20</v>
      </c>
      <c r="G116" s="19">
        <v>1</v>
      </c>
      <c r="H116" s="100">
        <f>10739.72*1.05</f>
        <v>11276.706</v>
      </c>
      <c r="I116" s="21">
        <f t="shared" si="5"/>
        <v>135320.472</v>
      </c>
      <c r="J116" s="19">
        <v>12</v>
      </c>
      <c r="K116" s="21">
        <f t="shared" si="6"/>
        <v>18537.05095890411</v>
      </c>
      <c r="L116" s="21"/>
      <c r="M116" s="21">
        <f t="shared" si="7"/>
        <v>153857.52295890413</v>
      </c>
    </row>
    <row r="117" spans="1:13" ht="15">
      <c r="A117" s="18" t="s">
        <v>215</v>
      </c>
      <c r="B117" s="18" t="s">
        <v>149</v>
      </c>
      <c r="C117" s="18"/>
      <c r="D117" s="19">
        <v>40</v>
      </c>
      <c r="E117" s="19" t="s">
        <v>19</v>
      </c>
      <c r="F117" s="19" t="s">
        <v>20</v>
      </c>
      <c r="G117" s="19">
        <v>1</v>
      </c>
      <c r="H117" s="100">
        <f>16926.95*1.05</f>
        <v>17773.2975</v>
      </c>
      <c r="I117" s="21">
        <f t="shared" si="5"/>
        <v>213279.57</v>
      </c>
      <c r="J117" s="19">
        <v>12</v>
      </c>
      <c r="K117" s="21">
        <f t="shared" si="6"/>
        <v>29216.379452054796</v>
      </c>
      <c r="L117" s="21"/>
      <c r="M117" s="21">
        <f t="shared" si="7"/>
        <v>242495.9494520548</v>
      </c>
    </row>
    <row r="118" spans="1:13" ht="15">
      <c r="A118" s="18" t="s">
        <v>179</v>
      </c>
      <c r="B118" s="18" t="s">
        <v>149</v>
      </c>
      <c r="C118" s="18"/>
      <c r="D118" s="19">
        <v>40</v>
      </c>
      <c r="E118" s="19" t="s">
        <v>19</v>
      </c>
      <c r="F118" s="19" t="s">
        <v>20</v>
      </c>
      <c r="G118" s="19">
        <v>1</v>
      </c>
      <c r="H118" s="100">
        <f>12221.62*1.05</f>
        <v>12832.701000000001</v>
      </c>
      <c r="I118" s="21">
        <f t="shared" si="5"/>
        <v>153992.412</v>
      </c>
      <c r="J118" s="19">
        <v>12</v>
      </c>
      <c r="K118" s="21">
        <f t="shared" si="6"/>
        <v>21094.850958904113</v>
      </c>
      <c r="L118" s="21"/>
      <c r="M118" s="21">
        <f t="shared" si="7"/>
        <v>175087.26295890412</v>
      </c>
    </row>
    <row r="119" spans="1:13" ht="15">
      <c r="A119" s="18" t="s">
        <v>179</v>
      </c>
      <c r="B119" s="18" t="s">
        <v>149</v>
      </c>
      <c r="C119" s="18"/>
      <c r="D119" s="19">
        <v>40</v>
      </c>
      <c r="E119" s="19" t="s">
        <v>19</v>
      </c>
      <c r="F119" s="19" t="s">
        <v>20</v>
      </c>
      <c r="G119" s="19">
        <v>1</v>
      </c>
      <c r="H119" s="100">
        <f>12221.62*1.05</f>
        <v>12832.701000000001</v>
      </c>
      <c r="I119" s="21">
        <f t="shared" si="5"/>
        <v>153992.412</v>
      </c>
      <c r="J119" s="19">
        <v>12</v>
      </c>
      <c r="K119" s="21">
        <f t="shared" si="6"/>
        <v>21094.850958904113</v>
      </c>
      <c r="L119" s="21"/>
      <c r="M119" s="21">
        <f t="shared" si="7"/>
        <v>175087.26295890412</v>
      </c>
    </row>
    <row r="120" spans="1:13" ht="15">
      <c r="A120" s="18" t="s">
        <v>150</v>
      </c>
      <c r="B120" s="18" t="s">
        <v>149</v>
      </c>
      <c r="C120" s="18"/>
      <c r="D120" s="19">
        <v>40</v>
      </c>
      <c r="E120" s="19" t="s">
        <v>19</v>
      </c>
      <c r="F120" s="19" t="s">
        <v>20</v>
      </c>
      <c r="G120" s="19">
        <v>1</v>
      </c>
      <c r="H120" s="100">
        <v>14509.92</v>
      </c>
      <c r="I120" s="21">
        <f t="shared" si="5"/>
        <v>174119.04</v>
      </c>
      <c r="J120" s="19">
        <v>12</v>
      </c>
      <c r="K120" s="21">
        <f t="shared" si="6"/>
        <v>23851.923287671234</v>
      </c>
      <c r="L120" s="21"/>
      <c r="M120" s="21">
        <f t="shared" si="7"/>
        <v>197970.96328767124</v>
      </c>
    </row>
    <row r="121" spans="1:13" ht="15.75" thickBot="1">
      <c r="A121" s="12"/>
      <c r="B121" s="13"/>
      <c r="C121" s="53"/>
      <c r="D121" s="54" t="s">
        <v>47</v>
      </c>
      <c r="E121" s="54"/>
      <c r="F121" s="54"/>
      <c r="G121" s="54">
        <f>SUM(G6:G120)</f>
        <v>113</v>
      </c>
      <c r="H121" s="55">
        <f>SUM(H6:H120)</f>
        <v>1225043.4990000008</v>
      </c>
      <c r="I121" s="55">
        <f>SUM(I6:I120)</f>
        <v>14514765.347999996</v>
      </c>
      <c r="J121" s="54"/>
      <c r="K121" s="55">
        <f>SUM(K6:K120)</f>
        <v>1988324.0202739728</v>
      </c>
      <c r="L121" s="56"/>
      <c r="M121" s="57">
        <f>SUM(M6:M120)</f>
        <v>16503089.36827398</v>
      </c>
    </row>
    <row r="122" spans="1:13" ht="30">
      <c r="A122" s="58" t="s">
        <v>152</v>
      </c>
      <c r="B122" s="32"/>
      <c r="C122" s="32"/>
      <c r="D122" s="59"/>
      <c r="E122" s="59"/>
      <c r="F122" s="59"/>
      <c r="G122" s="59"/>
      <c r="H122" s="60"/>
      <c r="I122" s="60"/>
      <c r="J122" s="59"/>
      <c r="K122" s="60"/>
      <c r="L122" s="61"/>
      <c r="M122" s="62"/>
    </row>
    <row r="123" spans="1:13" ht="15">
      <c r="A123" s="163" t="s">
        <v>72</v>
      </c>
      <c r="B123" s="163" t="s">
        <v>155</v>
      </c>
      <c r="C123" s="163"/>
      <c r="D123" s="164">
        <v>8</v>
      </c>
      <c r="E123" s="164" t="s">
        <v>45</v>
      </c>
      <c r="F123" s="164" t="s">
        <v>20</v>
      </c>
      <c r="G123" s="164">
        <v>1</v>
      </c>
      <c r="H123" s="165">
        <f>7041.41*1.05</f>
        <v>7393.480500000001</v>
      </c>
      <c r="I123" s="166">
        <f aca="true" t="shared" si="8" ref="I123:I201">+H123*J123</f>
        <v>88721.766</v>
      </c>
      <c r="J123" s="164">
        <v>12</v>
      </c>
      <c r="K123" s="166">
        <f aca="true" t="shared" si="9" ref="K123:K201">+I123/365*50</f>
        <v>12153.666575342466</v>
      </c>
      <c r="L123" s="166"/>
      <c r="M123" s="166">
        <f aca="true" t="shared" si="10" ref="M123:M201">+I123+K123</f>
        <v>100875.43257534246</v>
      </c>
    </row>
    <row r="124" spans="1:13" ht="15">
      <c r="A124" s="163" t="s">
        <v>29</v>
      </c>
      <c r="B124" s="163" t="s">
        <v>155</v>
      </c>
      <c r="C124" s="163"/>
      <c r="D124" s="164">
        <v>8</v>
      </c>
      <c r="E124" s="164" t="s">
        <v>45</v>
      </c>
      <c r="F124" s="164" t="s">
        <v>20</v>
      </c>
      <c r="G124" s="164">
        <v>1</v>
      </c>
      <c r="H124" s="165">
        <f>8147.77*1.05</f>
        <v>8555.158500000001</v>
      </c>
      <c r="I124" s="166">
        <f t="shared" si="8"/>
        <v>102661.90200000002</v>
      </c>
      <c r="J124" s="164">
        <v>12</v>
      </c>
      <c r="K124" s="166">
        <f t="shared" si="9"/>
        <v>14063.274246575344</v>
      </c>
      <c r="L124" s="166"/>
      <c r="M124" s="166">
        <f t="shared" si="10"/>
        <v>116725.17624657536</v>
      </c>
    </row>
    <row r="125" spans="1:13" ht="15">
      <c r="A125" s="163" t="s">
        <v>202</v>
      </c>
      <c r="B125" s="163" t="s">
        <v>155</v>
      </c>
      <c r="C125" s="163"/>
      <c r="D125" s="164">
        <v>8</v>
      </c>
      <c r="E125" s="164" t="s">
        <v>45</v>
      </c>
      <c r="F125" s="164" t="s">
        <v>20</v>
      </c>
      <c r="G125" s="164">
        <v>1</v>
      </c>
      <c r="H125" s="165">
        <f>8147.75*1.05</f>
        <v>8555.1375</v>
      </c>
      <c r="I125" s="166">
        <f t="shared" si="8"/>
        <v>102661.65000000001</v>
      </c>
      <c r="J125" s="164">
        <v>12</v>
      </c>
      <c r="K125" s="166">
        <f t="shared" si="9"/>
        <v>14063.2397260274</v>
      </c>
      <c r="L125" s="166"/>
      <c r="M125" s="166">
        <f t="shared" si="10"/>
        <v>116724.88972602741</v>
      </c>
    </row>
    <row r="126" spans="1:13" ht="15">
      <c r="A126" s="163" t="s">
        <v>53</v>
      </c>
      <c r="B126" s="163" t="s">
        <v>155</v>
      </c>
      <c r="C126" s="163"/>
      <c r="D126" s="164">
        <v>8</v>
      </c>
      <c r="E126" s="164" t="s">
        <v>45</v>
      </c>
      <c r="F126" s="164" t="s">
        <v>20</v>
      </c>
      <c r="G126" s="164">
        <v>1</v>
      </c>
      <c r="H126" s="165">
        <v>6223.2</v>
      </c>
      <c r="I126" s="166">
        <f t="shared" si="8"/>
        <v>74678.4</v>
      </c>
      <c r="J126" s="164">
        <v>12</v>
      </c>
      <c r="K126" s="166">
        <f t="shared" si="9"/>
        <v>10229.917808219177</v>
      </c>
      <c r="L126" s="166"/>
      <c r="M126" s="166">
        <f t="shared" si="10"/>
        <v>84908.31780821917</v>
      </c>
    </row>
    <row r="127" spans="1:13" ht="15">
      <c r="A127" s="163" t="s">
        <v>53</v>
      </c>
      <c r="B127" s="163" t="s">
        <v>155</v>
      </c>
      <c r="C127" s="163"/>
      <c r="D127" s="164">
        <v>8</v>
      </c>
      <c r="E127" s="164" t="s">
        <v>45</v>
      </c>
      <c r="F127" s="164" t="s">
        <v>20</v>
      </c>
      <c r="G127" s="164">
        <v>1</v>
      </c>
      <c r="H127" s="165">
        <f>9466.5*1.05</f>
        <v>9939.825</v>
      </c>
      <c r="I127" s="166">
        <f t="shared" si="8"/>
        <v>119277.90000000001</v>
      </c>
      <c r="J127" s="164">
        <v>12</v>
      </c>
      <c r="K127" s="166">
        <f t="shared" si="9"/>
        <v>16339.438356164384</v>
      </c>
      <c r="L127" s="166"/>
      <c r="M127" s="166">
        <f t="shared" si="10"/>
        <v>135617.3383561644</v>
      </c>
    </row>
    <row r="128" spans="1:13" ht="15">
      <c r="A128" s="163" t="s">
        <v>53</v>
      </c>
      <c r="B128" s="163" t="s">
        <v>155</v>
      </c>
      <c r="C128" s="163"/>
      <c r="D128" s="164">
        <v>8</v>
      </c>
      <c r="E128" s="164" t="s">
        <v>45</v>
      </c>
      <c r="F128" s="164" t="s">
        <v>20</v>
      </c>
      <c r="G128" s="164">
        <v>1</v>
      </c>
      <c r="H128" s="165">
        <f>8120.82*1.05</f>
        <v>8526.861</v>
      </c>
      <c r="I128" s="166">
        <f t="shared" si="8"/>
        <v>102322.33200000001</v>
      </c>
      <c r="J128" s="164">
        <v>12</v>
      </c>
      <c r="K128" s="166">
        <f t="shared" si="9"/>
        <v>14016.75780821918</v>
      </c>
      <c r="L128" s="166"/>
      <c r="M128" s="166">
        <f t="shared" si="10"/>
        <v>116339.08980821919</v>
      </c>
    </row>
    <row r="129" spans="1:13" ht="15">
      <c r="A129" s="163" t="s">
        <v>53</v>
      </c>
      <c r="B129" s="163" t="s">
        <v>155</v>
      </c>
      <c r="C129" s="163"/>
      <c r="D129" s="164">
        <v>8</v>
      </c>
      <c r="E129" s="164" t="s">
        <v>45</v>
      </c>
      <c r="F129" s="164" t="s">
        <v>20</v>
      </c>
      <c r="G129" s="164">
        <v>1</v>
      </c>
      <c r="H129" s="165">
        <v>7966.89</v>
      </c>
      <c r="I129" s="166">
        <f t="shared" si="8"/>
        <v>95602.68000000001</v>
      </c>
      <c r="J129" s="164">
        <v>12</v>
      </c>
      <c r="K129" s="166">
        <f t="shared" si="9"/>
        <v>13096.257534246575</v>
      </c>
      <c r="L129" s="166"/>
      <c r="M129" s="166">
        <f t="shared" si="10"/>
        <v>108698.93753424658</v>
      </c>
    </row>
    <row r="130" spans="1:13" ht="15">
      <c r="A130" s="163" t="s">
        <v>53</v>
      </c>
      <c r="B130" s="163" t="s">
        <v>155</v>
      </c>
      <c r="C130" s="163"/>
      <c r="D130" s="164">
        <v>8</v>
      </c>
      <c r="E130" s="164" t="s">
        <v>45</v>
      </c>
      <c r="F130" s="164" t="s">
        <v>20</v>
      </c>
      <c r="G130" s="164">
        <v>1</v>
      </c>
      <c r="H130" s="165">
        <f>7603.61*1.05</f>
        <v>7983.7905</v>
      </c>
      <c r="I130" s="166">
        <f t="shared" si="8"/>
        <v>95805.486</v>
      </c>
      <c r="J130" s="164">
        <v>12</v>
      </c>
      <c r="K130" s="166">
        <f t="shared" si="9"/>
        <v>13124.039178082194</v>
      </c>
      <c r="L130" s="166"/>
      <c r="M130" s="166">
        <f t="shared" si="10"/>
        <v>108929.5251780822</v>
      </c>
    </row>
    <row r="131" spans="1:13" ht="15">
      <c r="A131" s="163" t="s">
        <v>53</v>
      </c>
      <c r="B131" s="163" t="s">
        <v>155</v>
      </c>
      <c r="C131" s="163"/>
      <c r="D131" s="164">
        <v>8</v>
      </c>
      <c r="E131" s="164" t="s">
        <v>45</v>
      </c>
      <c r="F131" s="164" t="s">
        <v>20</v>
      </c>
      <c r="G131" s="164">
        <v>1</v>
      </c>
      <c r="H131" s="165">
        <f>7587.43*1.05</f>
        <v>7966.8015000000005</v>
      </c>
      <c r="I131" s="166">
        <f t="shared" si="8"/>
        <v>95601.618</v>
      </c>
      <c r="J131" s="164">
        <v>12</v>
      </c>
      <c r="K131" s="166">
        <f t="shared" si="9"/>
        <v>13096.11205479452</v>
      </c>
      <c r="L131" s="166"/>
      <c r="M131" s="166">
        <f t="shared" si="10"/>
        <v>108697.73005479452</v>
      </c>
    </row>
    <row r="132" spans="1:13" ht="15">
      <c r="A132" s="163" t="s">
        <v>53</v>
      </c>
      <c r="B132" s="163" t="s">
        <v>155</v>
      </c>
      <c r="C132" s="163"/>
      <c r="D132" s="164">
        <v>8</v>
      </c>
      <c r="E132" s="164" t="s">
        <v>45</v>
      </c>
      <c r="F132" s="164" t="s">
        <v>20</v>
      </c>
      <c r="G132" s="164">
        <v>1</v>
      </c>
      <c r="H132" s="165">
        <f>7587.43*1.05</f>
        <v>7966.8015000000005</v>
      </c>
      <c r="I132" s="166">
        <f t="shared" si="8"/>
        <v>95601.618</v>
      </c>
      <c r="J132" s="164">
        <v>12</v>
      </c>
      <c r="K132" s="166">
        <f t="shared" si="9"/>
        <v>13096.11205479452</v>
      </c>
      <c r="L132" s="166"/>
      <c r="M132" s="166">
        <f t="shared" si="10"/>
        <v>108697.73005479452</v>
      </c>
    </row>
    <row r="133" spans="1:13" ht="15">
      <c r="A133" s="163" t="s">
        <v>53</v>
      </c>
      <c r="B133" s="163" t="s">
        <v>155</v>
      </c>
      <c r="C133" s="163"/>
      <c r="D133" s="164">
        <v>8</v>
      </c>
      <c r="E133" s="164" t="s">
        <v>45</v>
      </c>
      <c r="F133" s="164" t="s">
        <v>20</v>
      </c>
      <c r="G133" s="164">
        <v>1</v>
      </c>
      <c r="H133" s="165">
        <f>9439*1.05</f>
        <v>9910.95</v>
      </c>
      <c r="I133" s="166">
        <f t="shared" si="8"/>
        <v>118931.40000000001</v>
      </c>
      <c r="J133" s="164">
        <v>12</v>
      </c>
      <c r="K133" s="166">
        <f t="shared" si="9"/>
        <v>16291.972602739728</v>
      </c>
      <c r="L133" s="166"/>
      <c r="M133" s="166">
        <f t="shared" si="10"/>
        <v>135223.37260273975</v>
      </c>
    </row>
    <row r="134" spans="1:13" ht="15">
      <c r="A134" s="163" t="s">
        <v>53</v>
      </c>
      <c r="B134" s="163" t="s">
        <v>155</v>
      </c>
      <c r="C134" s="163"/>
      <c r="D134" s="164">
        <v>8</v>
      </c>
      <c r="E134" s="164" t="s">
        <v>45</v>
      </c>
      <c r="F134" s="164" t="s">
        <v>20</v>
      </c>
      <c r="G134" s="164">
        <v>1</v>
      </c>
      <c r="H134" s="165">
        <v>7686.86</v>
      </c>
      <c r="I134" s="166">
        <f t="shared" si="8"/>
        <v>92242.31999999999</v>
      </c>
      <c r="J134" s="164">
        <v>12</v>
      </c>
      <c r="K134" s="166">
        <f t="shared" si="9"/>
        <v>12635.934246575342</v>
      </c>
      <c r="L134" s="166"/>
      <c r="M134" s="166">
        <f t="shared" si="10"/>
        <v>104878.25424657534</v>
      </c>
    </row>
    <row r="135" spans="1:13" ht="15">
      <c r="A135" s="163" t="s">
        <v>53</v>
      </c>
      <c r="B135" s="163" t="s">
        <v>155</v>
      </c>
      <c r="C135" s="163"/>
      <c r="D135" s="164">
        <v>8</v>
      </c>
      <c r="E135" s="164" t="s">
        <v>45</v>
      </c>
      <c r="F135" s="164" t="s">
        <v>20</v>
      </c>
      <c r="G135" s="164">
        <v>1</v>
      </c>
      <c r="H135" s="165">
        <v>7026.1</v>
      </c>
      <c r="I135" s="166">
        <f>+H135*J135</f>
        <v>84313.20000000001</v>
      </c>
      <c r="J135" s="164">
        <v>12</v>
      </c>
      <c r="K135" s="166">
        <f>+I135/365*50</f>
        <v>11549.753424657536</v>
      </c>
      <c r="L135" s="166"/>
      <c r="M135" s="166">
        <f>+I135+K135</f>
        <v>95862.95342465755</v>
      </c>
    </row>
    <row r="136" spans="1:13" ht="15">
      <c r="A136" s="163" t="s">
        <v>112</v>
      </c>
      <c r="B136" s="163" t="s">
        <v>155</v>
      </c>
      <c r="C136" s="163"/>
      <c r="D136" s="164">
        <v>8</v>
      </c>
      <c r="E136" s="164" t="s">
        <v>45</v>
      </c>
      <c r="F136" s="164" t="s">
        <v>20</v>
      </c>
      <c r="G136" s="164">
        <v>1</v>
      </c>
      <c r="H136" s="165">
        <v>8691.1</v>
      </c>
      <c r="I136" s="166">
        <f t="shared" si="8"/>
        <v>104293.20000000001</v>
      </c>
      <c r="J136" s="164">
        <v>12</v>
      </c>
      <c r="K136" s="166">
        <f t="shared" si="9"/>
        <v>14286.739726027397</v>
      </c>
      <c r="L136" s="166"/>
      <c r="M136" s="166">
        <f t="shared" si="10"/>
        <v>118579.93972602741</v>
      </c>
    </row>
    <row r="137" spans="1:13" ht="15">
      <c r="A137" s="163" t="s">
        <v>112</v>
      </c>
      <c r="B137" s="163" t="s">
        <v>155</v>
      </c>
      <c r="C137" s="163"/>
      <c r="D137" s="164">
        <v>8</v>
      </c>
      <c r="E137" s="164" t="s">
        <v>45</v>
      </c>
      <c r="F137" s="164" t="s">
        <v>20</v>
      </c>
      <c r="G137" s="164">
        <v>1</v>
      </c>
      <c r="H137" s="165">
        <v>7980.66</v>
      </c>
      <c r="I137" s="166">
        <f t="shared" si="8"/>
        <v>95767.92</v>
      </c>
      <c r="J137" s="164">
        <v>12</v>
      </c>
      <c r="K137" s="166">
        <f t="shared" si="9"/>
        <v>13118.893150684931</v>
      </c>
      <c r="L137" s="166"/>
      <c r="M137" s="166">
        <f t="shared" si="10"/>
        <v>108886.81315068493</v>
      </c>
    </row>
    <row r="138" spans="1:13" ht="15">
      <c r="A138" s="163" t="s">
        <v>148</v>
      </c>
      <c r="B138" s="163" t="s">
        <v>155</v>
      </c>
      <c r="C138" s="163"/>
      <c r="D138" s="164">
        <v>8</v>
      </c>
      <c r="E138" s="164" t="s">
        <v>45</v>
      </c>
      <c r="F138" s="164" t="s">
        <v>20</v>
      </c>
      <c r="G138" s="164">
        <v>1</v>
      </c>
      <c r="H138" s="165">
        <f>6489*1.05</f>
        <v>6813.450000000001</v>
      </c>
      <c r="I138" s="166">
        <f t="shared" si="8"/>
        <v>81761.40000000001</v>
      </c>
      <c r="J138" s="164">
        <v>12</v>
      </c>
      <c r="K138" s="166">
        <f t="shared" si="9"/>
        <v>11200.191780821919</v>
      </c>
      <c r="L138" s="166"/>
      <c r="M138" s="166">
        <f t="shared" si="10"/>
        <v>92961.59178082192</v>
      </c>
    </row>
    <row r="139" spans="1:13" ht="15">
      <c r="A139" s="163" t="s">
        <v>148</v>
      </c>
      <c r="B139" s="163" t="s">
        <v>155</v>
      </c>
      <c r="C139" s="163"/>
      <c r="D139" s="164">
        <v>8</v>
      </c>
      <c r="E139" s="164" t="s">
        <v>45</v>
      </c>
      <c r="F139" s="164" t="s">
        <v>20</v>
      </c>
      <c r="G139" s="164">
        <v>1</v>
      </c>
      <c r="H139" s="165">
        <f>6489*1.05</f>
        <v>6813.450000000001</v>
      </c>
      <c r="I139" s="166">
        <f t="shared" si="8"/>
        <v>81761.40000000001</v>
      </c>
      <c r="J139" s="164">
        <v>12</v>
      </c>
      <c r="K139" s="166">
        <f t="shared" si="9"/>
        <v>11200.191780821919</v>
      </c>
      <c r="L139" s="166"/>
      <c r="M139" s="166">
        <f t="shared" si="10"/>
        <v>92961.59178082192</v>
      </c>
    </row>
    <row r="140" spans="1:13" ht="15">
      <c r="A140" s="163" t="s">
        <v>29</v>
      </c>
      <c r="B140" s="163" t="s">
        <v>146</v>
      </c>
      <c r="C140" s="163"/>
      <c r="D140" s="164">
        <v>8</v>
      </c>
      <c r="E140" s="164" t="s">
        <v>45</v>
      </c>
      <c r="F140" s="164" t="s">
        <v>20</v>
      </c>
      <c r="G140" s="164">
        <v>1</v>
      </c>
      <c r="H140" s="165">
        <f>7041.41*1.05</f>
        <v>7393.480500000001</v>
      </c>
      <c r="I140" s="166">
        <f t="shared" si="8"/>
        <v>88721.766</v>
      </c>
      <c r="J140" s="164">
        <v>12</v>
      </c>
      <c r="K140" s="166">
        <f t="shared" si="9"/>
        <v>12153.666575342466</v>
      </c>
      <c r="L140" s="166"/>
      <c r="M140" s="166">
        <f t="shared" si="10"/>
        <v>100875.43257534246</v>
      </c>
    </row>
    <row r="141" spans="1:13" ht="15">
      <c r="A141" s="163" t="s">
        <v>147</v>
      </c>
      <c r="B141" s="163" t="s">
        <v>146</v>
      </c>
      <c r="C141" s="163"/>
      <c r="D141" s="164">
        <v>8</v>
      </c>
      <c r="E141" s="164" t="s">
        <v>45</v>
      </c>
      <c r="F141" s="164" t="s">
        <v>20</v>
      </c>
      <c r="G141" s="164">
        <v>1</v>
      </c>
      <c r="H141" s="165">
        <v>10229.82</v>
      </c>
      <c r="I141" s="166">
        <f t="shared" si="8"/>
        <v>122757.84</v>
      </c>
      <c r="J141" s="164">
        <v>12</v>
      </c>
      <c r="K141" s="166">
        <f t="shared" si="9"/>
        <v>16816.142465753423</v>
      </c>
      <c r="L141" s="166"/>
      <c r="M141" s="166">
        <f t="shared" si="10"/>
        <v>139573.98246575342</v>
      </c>
    </row>
    <row r="142" spans="1:13" ht="15">
      <c r="A142" s="163" t="s">
        <v>140</v>
      </c>
      <c r="B142" s="163" t="s">
        <v>139</v>
      </c>
      <c r="C142" s="163"/>
      <c r="D142" s="164">
        <v>8</v>
      </c>
      <c r="E142" s="164" t="s">
        <v>45</v>
      </c>
      <c r="F142" s="164" t="s">
        <v>20</v>
      </c>
      <c r="G142" s="164">
        <v>1</v>
      </c>
      <c r="H142" s="165">
        <v>7175.53</v>
      </c>
      <c r="I142" s="166">
        <f>+H142*J142</f>
        <v>7175.53</v>
      </c>
      <c r="J142" s="164">
        <v>1</v>
      </c>
      <c r="K142" s="166">
        <f>+I142/365*50</f>
        <v>982.9493150684931</v>
      </c>
      <c r="L142" s="166"/>
      <c r="M142" s="166">
        <f>+I142+K142</f>
        <v>8158.479315068493</v>
      </c>
    </row>
    <row r="143" spans="1:13" ht="15">
      <c r="A143" s="163" t="s">
        <v>140</v>
      </c>
      <c r="B143" s="163" t="s">
        <v>139</v>
      </c>
      <c r="C143" s="163"/>
      <c r="D143" s="164">
        <v>8</v>
      </c>
      <c r="E143" s="164" t="s">
        <v>45</v>
      </c>
      <c r="F143" s="164" t="s">
        <v>20</v>
      </c>
      <c r="G143" s="164">
        <v>1</v>
      </c>
      <c r="H143" s="165">
        <v>7175.53</v>
      </c>
      <c r="I143" s="166">
        <f t="shared" si="8"/>
        <v>78930.83</v>
      </c>
      <c r="J143" s="164">
        <v>11</v>
      </c>
      <c r="K143" s="166">
        <f t="shared" si="9"/>
        <v>10812.442465753425</v>
      </c>
      <c r="L143" s="166"/>
      <c r="M143" s="166">
        <f t="shared" si="10"/>
        <v>89743.27246575343</v>
      </c>
    </row>
    <row r="144" spans="1:13" ht="15">
      <c r="A144" s="163" t="s">
        <v>140</v>
      </c>
      <c r="B144" s="163" t="s">
        <v>139</v>
      </c>
      <c r="C144" s="163"/>
      <c r="D144" s="164">
        <v>8</v>
      </c>
      <c r="E144" s="164" t="s">
        <v>45</v>
      </c>
      <c r="F144" s="164" t="s">
        <v>20</v>
      </c>
      <c r="G144" s="164">
        <v>1</v>
      </c>
      <c r="H144" s="165">
        <f aca="true" t="shared" si="11" ref="H144:H184">6833.84*1.05</f>
        <v>7175.532</v>
      </c>
      <c r="I144" s="166">
        <f t="shared" si="8"/>
        <v>86106.384</v>
      </c>
      <c r="J144" s="164">
        <v>12</v>
      </c>
      <c r="K144" s="166">
        <f t="shared" si="9"/>
        <v>11795.395068493151</v>
      </c>
      <c r="L144" s="166"/>
      <c r="M144" s="166">
        <f t="shared" si="10"/>
        <v>97901.77906849315</v>
      </c>
    </row>
    <row r="145" spans="1:13" ht="15">
      <c r="A145" s="163" t="s">
        <v>140</v>
      </c>
      <c r="B145" s="163" t="s">
        <v>139</v>
      </c>
      <c r="C145" s="163"/>
      <c r="D145" s="164">
        <v>8</v>
      </c>
      <c r="E145" s="164" t="s">
        <v>45</v>
      </c>
      <c r="F145" s="164" t="s">
        <v>20</v>
      </c>
      <c r="G145" s="164">
        <v>1</v>
      </c>
      <c r="H145" s="165">
        <f t="shared" si="11"/>
        <v>7175.532</v>
      </c>
      <c r="I145" s="166">
        <f t="shared" si="8"/>
        <v>86106.384</v>
      </c>
      <c r="J145" s="164">
        <v>12</v>
      </c>
      <c r="K145" s="166">
        <f t="shared" si="9"/>
        <v>11795.395068493151</v>
      </c>
      <c r="L145" s="166"/>
      <c r="M145" s="166">
        <f t="shared" si="10"/>
        <v>97901.77906849315</v>
      </c>
    </row>
    <row r="146" spans="1:13" ht="15">
      <c r="A146" s="163" t="s">
        <v>140</v>
      </c>
      <c r="B146" s="163" t="s">
        <v>139</v>
      </c>
      <c r="C146" s="163"/>
      <c r="D146" s="164">
        <v>8</v>
      </c>
      <c r="E146" s="164" t="s">
        <v>45</v>
      </c>
      <c r="F146" s="164" t="s">
        <v>20</v>
      </c>
      <c r="G146" s="164">
        <v>1</v>
      </c>
      <c r="H146" s="165">
        <f t="shared" si="11"/>
        <v>7175.532</v>
      </c>
      <c r="I146" s="166">
        <f t="shared" si="8"/>
        <v>86106.384</v>
      </c>
      <c r="J146" s="164">
        <v>12</v>
      </c>
      <c r="K146" s="166">
        <f t="shared" si="9"/>
        <v>11795.395068493151</v>
      </c>
      <c r="L146" s="166"/>
      <c r="M146" s="166">
        <f t="shared" si="10"/>
        <v>97901.77906849315</v>
      </c>
    </row>
    <row r="147" spans="1:13" ht="15">
      <c r="A147" s="163" t="s">
        <v>140</v>
      </c>
      <c r="B147" s="163" t="s">
        <v>139</v>
      </c>
      <c r="C147" s="163"/>
      <c r="D147" s="164">
        <v>8</v>
      </c>
      <c r="E147" s="164" t="s">
        <v>45</v>
      </c>
      <c r="F147" s="164" t="s">
        <v>20</v>
      </c>
      <c r="G147" s="164">
        <v>1</v>
      </c>
      <c r="H147" s="165">
        <f t="shared" si="11"/>
        <v>7175.532</v>
      </c>
      <c r="I147" s="166">
        <f>+H147*J147</f>
        <v>43053.192</v>
      </c>
      <c r="J147" s="164">
        <v>6</v>
      </c>
      <c r="K147" s="166">
        <f>+I147/365*50</f>
        <v>5897.697534246576</v>
      </c>
      <c r="L147" s="166"/>
      <c r="M147" s="166">
        <f>+I147+K147</f>
        <v>48950.88953424658</v>
      </c>
    </row>
    <row r="148" spans="1:13" ht="15">
      <c r="A148" s="163" t="s">
        <v>140</v>
      </c>
      <c r="B148" s="163" t="s">
        <v>139</v>
      </c>
      <c r="C148" s="163"/>
      <c r="D148" s="164">
        <v>8</v>
      </c>
      <c r="E148" s="164" t="s">
        <v>45</v>
      </c>
      <c r="F148" s="164" t="s">
        <v>20</v>
      </c>
      <c r="G148" s="164">
        <v>1</v>
      </c>
      <c r="H148" s="165">
        <f t="shared" si="11"/>
        <v>7175.532</v>
      </c>
      <c r="I148" s="166">
        <f t="shared" si="8"/>
        <v>43053.192</v>
      </c>
      <c r="J148" s="164">
        <v>6</v>
      </c>
      <c r="K148" s="166">
        <f t="shared" si="9"/>
        <v>5897.697534246576</v>
      </c>
      <c r="L148" s="166"/>
      <c r="M148" s="166">
        <f t="shared" si="10"/>
        <v>48950.88953424658</v>
      </c>
    </row>
    <row r="149" spans="1:13" ht="15">
      <c r="A149" s="163" t="s">
        <v>270</v>
      </c>
      <c r="B149" s="163" t="s">
        <v>139</v>
      </c>
      <c r="C149" s="163"/>
      <c r="D149" s="164">
        <v>8</v>
      </c>
      <c r="E149" s="164" t="s">
        <v>45</v>
      </c>
      <c r="F149" s="164" t="s">
        <v>20</v>
      </c>
      <c r="G149" s="164">
        <v>1</v>
      </c>
      <c r="H149" s="165">
        <v>7175.53</v>
      </c>
      <c r="I149" s="166">
        <f t="shared" si="8"/>
        <v>86106.36</v>
      </c>
      <c r="J149" s="164">
        <v>12</v>
      </c>
      <c r="K149" s="166">
        <f t="shared" si="9"/>
        <v>11795.391780821918</v>
      </c>
      <c r="L149" s="166"/>
      <c r="M149" s="166">
        <f t="shared" si="10"/>
        <v>97901.75178082191</v>
      </c>
    </row>
    <row r="150" spans="1:13" ht="15">
      <c r="A150" s="163" t="s">
        <v>270</v>
      </c>
      <c r="B150" s="163" t="s">
        <v>139</v>
      </c>
      <c r="C150" s="163"/>
      <c r="D150" s="164">
        <v>8</v>
      </c>
      <c r="E150" s="164" t="s">
        <v>45</v>
      </c>
      <c r="F150" s="164" t="s">
        <v>20</v>
      </c>
      <c r="G150" s="164">
        <v>1</v>
      </c>
      <c r="H150" s="165">
        <v>7175.53</v>
      </c>
      <c r="I150" s="166">
        <f>+H150*J150</f>
        <v>17938.825</v>
      </c>
      <c r="J150" s="164">
        <v>2.5</v>
      </c>
      <c r="K150" s="166">
        <f>+I150/365*50</f>
        <v>2457.373287671233</v>
      </c>
      <c r="L150" s="166"/>
      <c r="M150" s="166">
        <f>+I150+K150</f>
        <v>20396.198287671235</v>
      </c>
    </row>
    <row r="151" spans="1:13" ht="15">
      <c r="A151" s="163" t="s">
        <v>270</v>
      </c>
      <c r="B151" s="163" t="s">
        <v>139</v>
      </c>
      <c r="C151" s="163"/>
      <c r="D151" s="164">
        <v>8</v>
      </c>
      <c r="E151" s="164" t="s">
        <v>45</v>
      </c>
      <c r="F151" s="164" t="s">
        <v>20</v>
      </c>
      <c r="G151" s="164">
        <v>1</v>
      </c>
      <c r="H151" s="165">
        <v>7175.53</v>
      </c>
      <c r="I151" s="166">
        <f t="shared" si="8"/>
        <v>68167.535</v>
      </c>
      <c r="J151" s="164">
        <v>9.5</v>
      </c>
      <c r="K151" s="166">
        <f t="shared" si="9"/>
        <v>9338.018493150686</v>
      </c>
      <c r="L151" s="166"/>
      <c r="M151" s="166">
        <f t="shared" si="10"/>
        <v>77505.55349315068</v>
      </c>
    </row>
    <row r="152" spans="1:13" ht="15">
      <c r="A152" s="163" t="s">
        <v>140</v>
      </c>
      <c r="B152" s="163" t="s">
        <v>139</v>
      </c>
      <c r="C152" s="163"/>
      <c r="D152" s="164">
        <v>8</v>
      </c>
      <c r="E152" s="164" t="s">
        <v>45</v>
      </c>
      <c r="F152" s="164" t="s">
        <v>20</v>
      </c>
      <c r="G152" s="164">
        <v>1</v>
      </c>
      <c r="H152" s="165">
        <f t="shared" si="11"/>
        <v>7175.532</v>
      </c>
      <c r="I152" s="166">
        <f t="shared" si="8"/>
        <v>86106.384</v>
      </c>
      <c r="J152" s="164">
        <v>12</v>
      </c>
      <c r="K152" s="166">
        <f t="shared" si="9"/>
        <v>11795.395068493151</v>
      </c>
      <c r="L152" s="166"/>
      <c r="M152" s="166">
        <f t="shared" si="10"/>
        <v>97901.77906849315</v>
      </c>
    </row>
    <row r="153" spans="1:13" ht="15">
      <c r="A153" s="163" t="s">
        <v>140</v>
      </c>
      <c r="B153" s="163" t="s">
        <v>139</v>
      </c>
      <c r="C153" s="163"/>
      <c r="D153" s="164">
        <v>8</v>
      </c>
      <c r="E153" s="164" t="s">
        <v>45</v>
      </c>
      <c r="F153" s="164" t="s">
        <v>20</v>
      </c>
      <c r="G153" s="164">
        <v>1</v>
      </c>
      <c r="H153" s="165">
        <v>7980.65</v>
      </c>
      <c r="I153" s="166">
        <f t="shared" si="8"/>
        <v>95767.79999999999</v>
      </c>
      <c r="J153" s="164">
        <v>12</v>
      </c>
      <c r="K153" s="166">
        <f t="shared" si="9"/>
        <v>13118.876712328765</v>
      </c>
      <c r="L153" s="166"/>
      <c r="M153" s="166">
        <f t="shared" si="10"/>
        <v>108886.67671232876</v>
      </c>
    </row>
    <row r="154" spans="1:13" ht="15">
      <c r="A154" s="163" t="s">
        <v>140</v>
      </c>
      <c r="B154" s="163" t="s">
        <v>139</v>
      </c>
      <c r="C154" s="163"/>
      <c r="D154" s="164">
        <v>8</v>
      </c>
      <c r="E154" s="164" t="s">
        <v>45</v>
      </c>
      <c r="F154" s="164" t="s">
        <v>20</v>
      </c>
      <c r="G154" s="164">
        <v>1</v>
      </c>
      <c r="H154" s="165">
        <f t="shared" si="11"/>
        <v>7175.532</v>
      </c>
      <c r="I154" s="166">
        <f t="shared" si="8"/>
        <v>86106.384</v>
      </c>
      <c r="J154" s="164">
        <v>12</v>
      </c>
      <c r="K154" s="166">
        <f t="shared" si="9"/>
        <v>11795.395068493151</v>
      </c>
      <c r="L154" s="166"/>
      <c r="M154" s="166">
        <f t="shared" si="10"/>
        <v>97901.77906849315</v>
      </c>
    </row>
    <row r="155" spans="1:13" ht="15">
      <c r="A155" s="163" t="s">
        <v>140</v>
      </c>
      <c r="B155" s="163" t="s">
        <v>139</v>
      </c>
      <c r="C155" s="163"/>
      <c r="D155" s="164">
        <v>8</v>
      </c>
      <c r="E155" s="164" t="s">
        <v>45</v>
      </c>
      <c r="F155" s="164" t="s">
        <v>20</v>
      </c>
      <c r="G155" s="164">
        <v>1</v>
      </c>
      <c r="H155" s="165">
        <v>7175.53</v>
      </c>
      <c r="I155" s="166">
        <f t="shared" si="8"/>
        <v>86106.36</v>
      </c>
      <c r="J155" s="164">
        <v>12</v>
      </c>
      <c r="K155" s="166">
        <f t="shared" si="9"/>
        <v>11795.391780821918</v>
      </c>
      <c r="L155" s="166"/>
      <c r="M155" s="166">
        <f t="shared" si="10"/>
        <v>97901.75178082191</v>
      </c>
    </row>
    <row r="156" spans="1:13" ht="15">
      <c r="A156" s="163" t="s">
        <v>140</v>
      </c>
      <c r="B156" s="163" t="s">
        <v>139</v>
      </c>
      <c r="C156" s="163"/>
      <c r="D156" s="164">
        <v>8</v>
      </c>
      <c r="E156" s="164" t="s">
        <v>45</v>
      </c>
      <c r="F156" s="164" t="s">
        <v>20</v>
      </c>
      <c r="G156" s="164">
        <v>1</v>
      </c>
      <c r="H156" s="165">
        <f t="shared" si="11"/>
        <v>7175.532</v>
      </c>
      <c r="I156" s="166">
        <f t="shared" si="8"/>
        <v>86106.384</v>
      </c>
      <c r="J156" s="164">
        <v>12</v>
      </c>
      <c r="K156" s="166">
        <f t="shared" si="9"/>
        <v>11795.395068493151</v>
      </c>
      <c r="L156" s="166"/>
      <c r="M156" s="166">
        <f t="shared" si="10"/>
        <v>97901.77906849315</v>
      </c>
    </row>
    <row r="157" spans="1:13" ht="15">
      <c r="A157" s="163" t="s">
        <v>140</v>
      </c>
      <c r="B157" s="163" t="s">
        <v>139</v>
      </c>
      <c r="C157" s="163"/>
      <c r="D157" s="164">
        <v>8</v>
      </c>
      <c r="E157" s="164" t="s">
        <v>45</v>
      </c>
      <c r="F157" s="164" t="s">
        <v>20</v>
      </c>
      <c r="G157" s="164">
        <v>1</v>
      </c>
      <c r="H157" s="165">
        <f t="shared" si="11"/>
        <v>7175.532</v>
      </c>
      <c r="I157" s="166">
        <f t="shared" si="8"/>
        <v>86106.384</v>
      </c>
      <c r="J157" s="164">
        <v>12</v>
      </c>
      <c r="K157" s="166">
        <f t="shared" si="9"/>
        <v>11795.395068493151</v>
      </c>
      <c r="L157" s="166"/>
      <c r="M157" s="166">
        <f t="shared" si="10"/>
        <v>97901.77906849315</v>
      </c>
    </row>
    <row r="158" spans="1:13" ht="15">
      <c r="A158" s="163" t="s">
        <v>270</v>
      </c>
      <c r="B158" s="163" t="s">
        <v>139</v>
      </c>
      <c r="C158" s="163"/>
      <c r="D158" s="164">
        <v>8</v>
      </c>
      <c r="E158" s="164" t="s">
        <v>45</v>
      </c>
      <c r="F158" s="164" t="s">
        <v>20</v>
      </c>
      <c r="G158" s="164">
        <v>1</v>
      </c>
      <c r="H158" s="165">
        <v>7175.53</v>
      </c>
      <c r="I158" s="166">
        <f>+H158*J158</f>
        <v>21526.59</v>
      </c>
      <c r="J158" s="164">
        <v>3</v>
      </c>
      <c r="K158" s="166">
        <f>+I158/365*50</f>
        <v>2948.8479452054794</v>
      </c>
      <c r="L158" s="166"/>
      <c r="M158" s="166">
        <f>+I158+K158</f>
        <v>24475.437945205478</v>
      </c>
    </row>
    <row r="159" spans="1:13" ht="15">
      <c r="A159" s="163" t="s">
        <v>270</v>
      </c>
      <c r="B159" s="163" t="s">
        <v>139</v>
      </c>
      <c r="C159" s="163"/>
      <c r="D159" s="164">
        <v>8</v>
      </c>
      <c r="E159" s="164" t="s">
        <v>45</v>
      </c>
      <c r="F159" s="164" t="s">
        <v>20</v>
      </c>
      <c r="G159" s="164">
        <v>1</v>
      </c>
      <c r="H159" s="165">
        <v>7175.53</v>
      </c>
      <c r="I159" s="166">
        <f t="shared" si="8"/>
        <v>64579.77</v>
      </c>
      <c r="J159" s="164">
        <v>9</v>
      </c>
      <c r="K159" s="166">
        <f t="shared" si="9"/>
        <v>8846.543835616438</v>
      </c>
      <c r="L159" s="166"/>
      <c r="M159" s="166">
        <f t="shared" si="10"/>
        <v>73426.31383561643</v>
      </c>
    </row>
    <row r="160" spans="1:13" ht="15">
      <c r="A160" s="163" t="s">
        <v>270</v>
      </c>
      <c r="B160" s="163" t="s">
        <v>139</v>
      </c>
      <c r="C160" s="163"/>
      <c r="D160" s="164">
        <v>8</v>
      </c>
      <c r="E160" s="164" t="s">
        <v>45</v>
      </c>
      <c r="F160" s="164" t="s">
        <v>20</v>
      </c>
      <c r="G160" s="164">
        <v>1</v>
      </c>
      <c r="H160" s="165">
        <v>7175.53</v>
      </c>
      <c r="I160" s="166">
        <f>+H160*J160</f>
        <v>21526.59</v>
      </c>
      <c r="J160" s="164">
        <v>3</v>
      </c>
      <c r="K160" s="166">
        <f>+I160/365*50</f>
        <v>2948.8479452054794</v>
      </c>
      <c r="L160" s="166"/>
      <c r="M160" s="166">
        <f>+I160+K160</f>
        <v>24475.437945205478</v>
      </c>
    </row>
    <row r="161" spans="1:13" ht="15">
      <c r="A161" s="163" t="s">
        <v>270</v>
      </c>
      <c r="B161" s="163" t="s">
        <v>139</v>
      </c>
      <c r="C161" s="163"/>
      <c r="D161" s="164">
        <v>8</v>
      </c>
      <c r="E161" s="164" t="s">
        <v>45</v>
      </c>
      <c r="F161" s="164" t="s">
        <v>20</v>
      </c>
      <c r="G161" s="164">
        <v>1</v>
      </c>
      <c r="H161" s="165">
        <v>7175.53</v>
      </c>
      <c r="I161" s="166">
        <f t="shared" si="8"/>
        <v>64579.77</v>
      </c>
      <c r="J161" s="164">
        <v>9</v>
      </c>
      <c r="K161" s="166">
        <f t="shared" si="9"/>
        <v>8846.543835616438</v>
      </c>
      <c r="L161" s="166"/>
      <c r="M161" s="166">
        <f t="shared" si="10"/>
        <v>73426.31383561643</v>
      </c>
    </row>
    <row r="162" spans="1:13" ht="15">
      <c r="A162" s="163" t="s">
        <v>270</v>
      </c>
      <c r="B162" s="163" t="s">
        <v>139</v>
      </c>
      <c r="C162" s="163"/>
      <c r="D162" s="164">
        <v>8</v>
      </c>
      <c r="E162" s="164" t="s">
        <v>45</v>
      </c>
      <c r="F162" s="164" t="s">
        <v>20</v>
      </c>
      <c r="G162" s="164">
        <v>1</v>
      </c>
      <c r="H162" s="165">
        <v>7175.53</v>
      </c>
      <c r="I162" s="166">
        <f t="shared" si="8"/>
        <v>21526.59</v>
      </c>
      <c r="J162" s="164">
        <v>3</v>
      </c>
      <c r="K162" s="166">
        <f t="shared" si="9"/>
        <v>2948.8479452054794</v>
      </c>
      <c r="L162" s="166"/>
      <c r="M162" s="166">
        <f t="shared" si="10"/>
        <v>24475.437945205478</v>
      </c>
    </row>
    <row r="163" spans="1:13" ht="15">
      <c r="A163" s="163" t="s">
        <v>270</v>
      </c>
      <c r="B163" s="163" t="s">
        <v>139</v>
      </c>
      <c r="C163" s="163"/>
      <c r="D163" s="164">
        <v>8</v>
      </c>
      <c r="E163" s="164" t="s">
        <v>45</v>
      </c>
      <c r="F163" s="164" t="s">
        <v>20</v>
      </c>
      <c r="G163" s="164">
        <v>1</v>
      </c>
      <c r="H163" s="165">
        <v>7175.53</v>
      </c>
      <c r="I163" s="166">
        <f>+H163*J163</f>
        <v>64579.77</v>
      </c>
      <c r="J163" s="164">
        <v>9</v>
      </c>
      <c r="K163" s="166">
        <f>+I163/365*50</f>
        <v>8846.543835616438</v>
      </c>
      <c r="L163" s="166"/>
      <c r="M163" s="166">
        <f>+I163+K163</f>
        <v>73426.31383561643</v>
      </c>
    </row>
    <row r="164" spans="1:13" ht="15">
      <c r="A164" s="163" t="s">
        <v>270</v>
      </c>
      <c r="B164" s="163" t="s">
        <v>139</v>
      </c>
      <c r="C164" s="163"/>
      <c r="D164" s="164">
        <v>8</v>
      </c>
      <c r="E164" s="164" t="s">
        <v>45</v>
      </c>
      <c r="F164" s="164" t="s">
        <v>20</v>
      </c>
      <c r="G164" s="164">
        <v>1</v>
      </c>
      <c r="H164" s="165">
        <v>7175.53</v>
      </c>
      <c r="I164" s="166">
        <f>+H164*J164</f>
        <v>32289.885</v>
      </c>
      <c r="J164" s="164">
        <v>4.5</v>
      </c>
      <c r="K164" s="166">
        <f>+I164/365*50</f>
        <v>4423.271917808219</v>
      </c>
      <c r="L164" s="166"/>
      <c r="M164" s="166">
        <f>+I164+K164</f>
        <v>36713.15691780821</v>
      </c>
    </row>
    <row r="165" spans="1:13" ht="15">
      <c r="A165" s="163" t="s">
        <v>270</v>
      </c>
      <c r="B165" s="163" t="s">
        <v>139</v>
      </c>
      <c r="C165" s="163"/>
      <c r="D165" s="164">
        <v>8</v>
      </c>
      <c r="E165" s="164" t="s">
        <v>45</v>
      </c>
      <c r="F165" s="164" t="s">
        <v>20</v>
      </c>
      <c r="G165" s="164">
        <v>1</v>
      </c>
      <c r="H165" s="165">
        <v>7175.53</v>
      </c>
      <c r="I165" s="166">
        <f t="shared" si="8"/>
        <v>53816.475</v>
      </c>
      <c r="J165" s="164">
        <v>7.5</v>
      </c>
      <c r="K165" s="166">
        <f t="shared" si="9"/>
        <v>7372.119863013698</v>
      </c>
      <c r="L165" s="166"/>
      <c r="M165" s="166">
        <f t="shared" si="10"/>
        <v>61188.5948630137</v>
      </c>
    </row>
    <row r="166" spans="1:13" ht="15">
      <c r="A166" s="163" t="s">
        <v>140</v>
      </c>
      <c r="B166" s="163" t="s">
        <v>139</v>
      </c>
      <c r="C166" s="163"/>
      <c r="D166" s="164">
        <v>8</v>
      </c>
      <c r="E166" s="164" t="s">
        <v>45</v>
      </c>
      <c r="F166" s="164" t="s">
        <v>20</v>
      </c>
      <c r="G166" s="164">
        <v>1</v>
      </c>
      <c r="H166" s="165">
        <f t="shared" si="11"/>
        <v>7175.532</v>
      </c>
      <c r="I166" s="166">
        <f t="shared" si="8"/>
        <v>86106.384</v>
      </c>
      <c r="J166" s="164">
        <v>12</v>
      </c>
      <c r="K166" s="166">
        <f t="shared" si="9"/>
        <v>11795.395068493151</v>
      </c>
      <c r="L166" s="166"/>
      <c r="M166" s="166">
        <f t="shared" si="10"/>
        <v>97901.77906849315</v>
      </c>
    </row>
    <row r="167" spans="1:13" ht="15">
      <c r="A167" s="163" t="s">
        <v>140</v>
      </c>
      <c r="B167" s="163" t="s">
        <v>139</v>
      </c>
      <c r="C167" s="163"/>
      <c r="D167" s="164">
        <v>8</v>
      </c>
      <c r="E167" s="164" t="s">
        <v>45</v>
      </c>
      <c r="F167" s="164" t="s">
        <v>20</v>
      </c>
      <c r="G167" s="164">
        <v>1</v>
      </c>
      <c r="H167" s="165">
        <f t="shared" si="11"/>
        <v>7175.532</v>
      </c>
      <c r="I167" s="166">
        <f t="shared" si="8"/>
        <v>86106.384</v>
      </c>
      <c r="J167" s="164">
        <v>12</v>
      </c>
      <c r="K167" s="166">
        <f t="shared" si="9"/>
        <v>11795.395068493151</v>
      </c>
      <c r="L167" s="166"/>
      <c r="M167" s="166">
        <f t="shared" si="10"/>
        <v>97901.77906849315</v>
      </c>
    </row>
    <row r="168" spans="1:13" ht="15">
      <c r="A168" s="163" t="s">
        <v>140</v>
      </c>
      <c r="B168" s="163" t="s">
        <v>139</v>
      </c>
      <c r="C168" s="163"/>
      <c r="D168" s="164">
        <v>8</v>
      </c>
      <c r="E168" s="164" t="s">
        <v>45</v>
      </c>
      <c r="F168" s="164" t="s">
        <v>20</v>
      </c>
      <c r="G168" s="164">
        <v>1</v>
      </c>
      <c r="H168" s="165">
        <f t="shared" si="11"/>
        <v>7175.532</v>
      </c>
      <c r="I168" s="166">
        <f>+H168*J168</f>
        <v>32289.894</v>
      </c>
      <c r="J168" s="164">
        <v>4.5</v>
      </c>
      <c r="K168" s="166">
        <f>+I168/365*50</f>
        <v>4423.273150684931</v>
      </c>
      <c r="L168" s="166"/>
      <c r="M168" s="166">
        <f>+I168+K168</f>
        <v>36713.16715068493</v>
      </c>
    </row>
    <row r="169" spans="1:13" ht="15">
      <c r="A169" s="163" t="s">
        <v>140</v>
      </c>
      <c r="B169" s="163" t="s">
        <v>139</v>
      </c>
      <c r="C169" s="163"/>
      <c r="D169" s="164">
        <v>8</v>
      </c>
      <c r="E169" s="164" t="s">
        <v>45</v>
      </c>
      <c r="F169" s="164" t="s">
        <v>20</v>
      </c>
      <c r="G169" s="164">
        <v>1</v>
      </c>
      <c r="H169" s="165">
        <f t="shared" si="11"/>
        <v>7175.532</v>
      </c>
      <c r="I169" s="166">
        <f t="shared" si="8"/>
        <v>43053.192</v>
      </c>
      <c r="J169" s="164">
        <v>6</v>
      </c>
      <c r="K169" s="166">
        <f t="shared" si="9"/>
        <v>5897.697534246576</v>
      </c>
      <c r="L169" s="166"/>
      <c r="M169" s="166">
        <f t="shared" si="10"/>
        <v>48950.88953424658</v>
      </c>
    </row>
    <row r="170" spans="1:13" ht="15">
      <c r="A170" s="163" t="s">
        <v>140</v>
      </c>
      <c r="B170" s="163" t="s">
        <v>139</v>
      </c>
      <c r="C170" s="163"/>
      <c r="D170" s="164">
        <v>8</v>
      </c>
      <c r="E170" s="164" t="s">
        <v>45</v>
      </c>
      <c r="F170" s="164" t="s">
        <v>20</v>
      </c>
      <c r="G170" s="164">
        <v>1</v>
      </c>
      <c r="H170" s="165">
        <f t="shared" si="11"/>
        <v>7175.532</v>
      </c>
      <c r="I170" s="166">
        <f t="shared" si="8"/>
        <v>86106.384</v>
      </c>
      <c r="J170" s="164">
        <v>12</v>
      </c>
      <c r="K170" s="166">
        <f t="shared" si="9"/>
        <v>11795.395068493151</v>
      </c>
      <c r="L170" s="166"/>
      <c r="M170" s="166">
        <f t="shared" si="10"/>
        <v>97901.77906849315</v>
      </c>
    </row>
    <row r="171" spans="1:13" ht="15">
      <c r="A171" s="163" t="s">
        <v>140</v>
      </c>
      <c r="B171" s="163" t="s">
        <v>139</v>
      </c>
      <c r="C171" s="163"/>
      <c r="D171" s="164">
        <v>8</v>
      </c>
      <c r="E171" s="164" t="s">
        <v>45</v>
      </c>
      <c r="F171" s="164" t="s">
        <v>20</v>
      </c>
      <c r="G171" s="164">
        <v>1</v>
      </c>
      <c r="H171" s="165">
        <f t="shared" si="11"/>
        <v>7175.532</v>
      </c>
      <c r="I171" s="166">
        <f>+H171*J171</f>
        <v>43053.192</v>
      </c>
      <c r="J171" s="164">
        <v>6</v>
      </c>
      <c r="K171" s="166">
        <f>+I171/365*50</f>
        <v>5897.697534246576</v>
      </c>
      <c r="L171" s="166"/>
      <c r="M171" s="166">
        <f>+I171+K171</f>
        <v>48950.88953424658</v>
      </c>
    </row>
    <row r="172" spans="1:13" ht="15">
      <c r="A172" s="163" t="s">
        <v>140</v>
      </c>
      <c r="B172" s="163" t="s">
        <v>139</v>
      </c>
      <c r="C172" s="163"/>
      <c r="D172" s="164">
        <v>8</v>
      </c>
      <c r="E172" s="164" t="s">
        <v>45</v>
      </c>
      <c r="F172" s="164" t="s">
        <v>20</v>
      </c>
      <c r="G172" s="164">
        <v>1</v>
      </c>
      <c r="H172" s="165">
        <f t="shared" si="11"/>
        <v>7175.532</v>
      </c>
      <c r="I172" s="166">
        <f t="shared" si="8"/>
        <v>43053.192</v>
      </c>
      <c r="J172" s="164">
        <v>6</v>
      </c>
      <c r="K172" s="166">
        <f t="shared" si="9"/>
        <v>5897.697534246576</v>
      </c>
      <c r="L172" s="166"/>
      <c r="M172" s="166">
        <f t="shared" si="10"/>
        <v>48950.88953424658</v>
      </c>
    </row>
    <row r="173" spans="1:13" ht="15">
      <c r="A173" s="163" t="s">
        <v>140</v>
      </c>
      <c r="B173" s="163" t="s">
        <v>139</v>
      </c>
      <c r="C173" s="163"/>
      <c r="D173" s="164">
        <v>8</v>
      </c>
      <c r="E173" s="164" t="s">
        <v>45</v>
      </c>
      <c r="F173" s="164" t="s">
        <v>20</v>
      </c>
      <c r="G173" s="164">
        <v>1</v>
      </c>
      <c r="H173" s="165">
        <f t="shared" si="11"/>
        <v>7175.532</v>
      </c>
      <c r="I173" s="166">
        <f t="shared" si="8"/>
        <v>86106.384</v>
      </c>
      <c r="J173" s="164">
        <v>12</v>
      </c>
      <c r="K173" s="166">
        <f t="shared" si="9"/>
        <v>11795.395068493151</v>
      </c>
      <c r="L173" s="166"/>
      <c r="M173" s="166">
        <f t="shared" si="10"/>
        <v>97901.77906849315</v>
      </c>
    </row>
    <row r="174" spans="1:13" ht="15">
      <c r="A174" s="163" t="s">
        <v>140</v>
      </c>
      <c r="B174" s="163" t="s">
        <v>139</v>
      </c>
      <c r="C174" s="163"/>
      <c r="D174" s="164">
        <v>8</v>
      </c>
      <c r="E174" s="164" t="s">
        <v>45</v>
      </c>
      <c r="F174" s="164" t="s">
        <v>20</v>
      </c>
      <c r="G174" s="164">
        <v>1</v>
      </c>
      <c r="H174" s="165">
        <f t="shared" si="11"/>
        <v>7175.532</v>
      </c>
      <c r="I174" s="166">
        <f>+H174*J174</f>
        <v>35877.66</v>
      </c>
      <c r="J174" s="164">
        <v>5</v>
      </c>
      <c r="K174" s="166">
        <f>+I174/365*50</f>
        <v>4914.7479452054795</v>
      </c>
      <c r="L174" s="166"/>
      <c r="M174" s="166">
        <f>+I174+K174</f>
        <v>40792.40794520549</v>
      </c>
    </row>
    <row r="175" spans="1:13" ht="15">
      <c r="A175" s="163" t="s">
        <v>140</v>
      </c>
      <c r="B175" s="163" t="s">
        <v>139</v>
      </c>
      <c r="C175" s="163"/>
      <c r="D175" s="164">
        <v>8</v>
      </c>
      <c r="E175" s="164" t="s">
        <v>45</v>
      </c>
      <c r="F175" s="164" t="s">
        <v>20</v>
      </c>
      <c r="G175" s="164">
        <v>1</v>
      </c>
      <c r="H175" s="165">
        <f t="shared" si="11"/>
        <v>7175.532</v>
      </c>
      <c r="I175" s="166">
        <f t="shared" si="8"/>
        <v>50228.724</v>
      </c>
      <c r="J175" s="164">
        <v>7</v>
      </c>
      <c r="K175" s="166">
        <f t="shared" si="9"/>
        <v>6880.647123287672</v>
      </c>
      <c r="L175" s="166"/>
      <c r="M175" s="166">
        <f t="shared" si="10"/>
        <v>57109.371123287674</v>
      </c>
    </row>
    <row r="176" spans="1:13" ht="15">
      <c r="A176" s="163" t="s">
        <v>140</v>
      </c>
      <c r="B176" s="163" t="s">
        <v>139</v>
      </c>
      <c r="C176" s="163"/>
      <c r="D176" s="164">
        <v>8</v>
      </c>
      <c r="E176" s="164" t="s">
        <v>45</v>
      </c>
      <c r="F176" s="164" t="s">
        <v>20</v>
      </c>
      <c r="G176" s="164">
        <v>1</v>
      </c>
      <c r="H176" s="165">
        <f t="shared" si="11"/>
        <v>7175.532</v>
      </c>
      <c r="I176" s="166">
        <f>+H176*J176</f>
        <v>43053.192</v>
      </c>
      <c r="J176" s="164">
        <v>6</v>
      </c>
      <c r="K176" s="166">
        <f>+I176/365*50</f>
        <v>5897.697534246576</v>
      </c>
      <c r="L176" s="166"/>
      <c r="M176" s="166">
        <f>+I176+K176</f>
        <v>48950.88953424658</v>
      </c>
    </row>
    <row r="177" spans="1:13" ht="15">
      <c r="A177" s="163" t="s">
        <v>140</v>
      </c>
      <c r="B177" s="163" t="s">
        <v>139</v>
      </c>
      <c r="C177" s="163"/>
      <c r="D177" s="164">
        <v>8</v>
      </c>
      <c r="E177" s="164" t="s">
        <v>45</v>
      </c>
      <c r="F177" s="164" t="s">
        <v>20</v>
      </c>
      <c r="G177" s="164">
        <v>1</v>
      </c>
      <c r="H177" s="165">
        <f t="shared" si="11"/>
        <v>7175.532</v>
      </c>
      <c r="I177" s="166">
        <f t="shared" si="8"/>
        <v>43053.192</v>
      </c>
      <c r="J177" s="164">
        <v>6</v>
      </c>
      <c r="K177" s="166">
        <f t="shared" si="9"/>
        <v>5897.697534246576</v>
      </c>
      <c r="L177" s="166"/>
      <c r="M177" s="166">
        <f t="shared" si="10"/>
        <v>48950.88953424658</v>
      </c>
    </row>
    <row r="178" spans="1:13" ht="15">
      <c r="A178" s="163" t="s">
        <v>140</v>
      </c>
      <c r="B178" s="163" t="s">
        <v>139</v>
      </c>
      <c r="C178" s="163"/>
      <c r="D178" s="164">
        <v>8</v>
      </c>
      <c r="E178" s="164" t="s">
        <v>45</v>
      </c>
      <c r="F178" s="164" t="s">
        <v>20</v>
      </c>
      <c r="G178" s="164">
        <v>1</v>
      </c>
      <c r="H178" s="165">
        <f t="shared" si="11"/>
        <v>7175.532</v>
      </c>
      <c r="I178" s="166">
        <f t="shared" si="8"/>
        <v>86106.384</v>
      </c>
      <c r="J178" s="164">
        <v>12</v>
      </c>
      <c r="K178" s="166">
        <f t="shared" si="9"/>
        <v>11795.395068493151</v>
      </c>
      <c r="L178" s="166"/>
      <c r="M178" s="166">
        <f t="shared" si="10"/>
        <v>97901.77906849315</v>
      </c>
    </row>
    <row r="179" spans="1:13" ht="15">
      <c r="A179" s="163" t="s">
        <v>140</v>
      </c>
      <c r="B179" s="163" t="s">
        <v>139</v>
      </c>
      <c r="C179" s="163"/>
      <c r="D179" s="164">
        <v>8</v>
      </c>
      <c r="E179" s="164" t="s">
        <v>45</v>
      </c>
      <c r="F179" s="164" t="s">
        <v>20</v>
      </c>
      <c r="G179" s="164">
        <v>1</v>
      </c>
      <c r="H179" s="165">
        <f t="shared" si="11"/>
        <v>7175.532</v>
      </c>
      <c r="I179" s="166">
        <f>+H179*J179</f>
        <v>50228.724</v>
      </c>
      <c r="J179" s="164">
        <v>7</v>
      </c>
      <c r="K179" s="166">
        <f>+I179/365*50</f>
        <v>6880.647123287672</v>
      </c>
      <c r="L179" s="166"/>
      <c r="M179" s="166">
        <f>+I179+K179</f>
        <v>57109.371123287674</v>
      </c>
    </row>
    <row r="180" spans="1:13" ht="15">
      <c r="A180" s="163" t="s">
        <v>140</v>
      </c>
      <c r="B180" s="163" t="s">
        <v>139</v>
      </c>
      <c r="C180" s="163"/>
      <c r="D180" s="164">
        <v>8</v>
      </c>
      <c r="E180" s="164" t="s">
        <v>45</v>
      </c>
      <c r="F180" s="164" t="s">
        <v>20</v>
      </c>
      <c r="G180" s="164">
        <v>1</v>
      </c>
      <c r="H180" s="165">
        <f t="shared" si="11"/>
        <v>7175.532</v>
      </c>
      <c r="I180" s="166">
        <f t="shared" si="8"/>
        <v>35877.66</v>
      </c>
      <c r="J180" s="164">
        <v>5</v>
      </c>
      <c r="K180" s="166">
        <f t="shared" si="9"/>
        <v>4914.7479452054795</v>
      </c>
      <c r="L180" s="166"/>
      <c r="M180" s="166">
        <f t="shared" si="10"/>
        <v>40792.40794520549</v>
      </c>
    </row>
    <row r="181" spans="1:13" ht="15">
      <c r="A181" s="163" t="s">
        <v>140</v>
      </c>
      <c r="B181" s="163" t="s">
        <v>139</v>
      </c>
      <c r="C181" s="163"/>
      <c r="D181" s="164">
        <v>8</v>
      </c>
      <c r="E181" s="164" t="s">
        <v>45</v>
      </c>
      <c r="F181" s="164" t="s">
        <v>20</v>
      </c>
      <c r="G181" s="164">
        <v>1</v>
      </c>
      <c r="H181" s="165">
        <f t="shared" si="11"/>
        <v>7175.532</v>
      </c>
      <c r="I181" s="166">
        <f t="shared" si="8"/>
        <v>86106.384</v>
      </c>
      <c r="J181" s="164">
        <v>12</v>
      </c>
      <c r="K181" s="166">
        <f t="shared" si="9"/>
        <v>11795.395068493151</v>
      </c>
      <c r="L181" s="166"/>
      <c r="M181" s="166">
        <f t="shared" si="10"/>
        <v>97901.77906849315</v>
      </c>
    </row>
    <row r="182" spans="1:13" ht="15">
      <c r="A182" s="163" t="s">
        <v>140</v>
      </c>
      <c r="B182" s="163" t="s">
        <v>139</v>
      </c>
      <c r="C182" s="163"/>
      <c r="D182" s="164">
        <v>8</v>
      </c>
      <c r="E182" s="164" t="s">
        <v>45</v>
      </c>
      <c r="F182" s="164" t="s">
        <v>20</v>
      </c>
      <c r="G182" s="164">
        <v>1</v>
      </c>
      <c r="H182" s="165">
        <f t="shared" si="11"/>
        <v>7175.532</v>
      </c>
      <c r="I182" s="166">
        <f t="shared" si="8"/>
        <v>43053.192</v>
      </c>
      <c r="J182" s="164">
        <v>6</v>
      </c>
      <c r="K182" s="166">
        <f t="shared" si="9"/>
        <v>5897.697534246576</v>
      </c>
      <c r="L182" s="166"/>
      <c r="M182" s="166">
        <f t="shared" si="10"/>
        <v>48950.88953424658</v>
      </c>
    </row>
    <row r="183" spans="1:13" ht="15">
      <c r="A183" s="163" t="s">
        <v>140</v>
      </c>
      <c r="B183" s="163" t="s">
        <v>139</v>
      </c>
      <c r="C183" s="163"/>
      <c r="D183" s="164">
        <v>8</v>
      </c>
      <c r="E183" s="164" t="s">
        <v>45</v>
      </c>
      <c r="F183" s="164" t="s">
        <v>20</v>
      </c>
      <c r="G183" s="164">
        <v>1</v>
      </c>
      <c r="H183" s="165">
        <f t="shared" si="11"/>
        <v>7175.532</v>
      </c>
      <c r="I183" s="166">
        <f t="shared" si="8"/>
        <v>43053.192</v>
      </c>
      <c r="J183" s="164">
        <v>6</v>
      </c>
      <c r="K183" s="166">
        <f t="shared" si="9"/>
        <v>5897.697534246576</v>
      </c>
      <c r="L183" s="166"/>
      <c r="M183" s="166">
        <f t="shared" si="10"/>
        <v>48950.88953424658</v>
      </c>
    </row>
    <row r="184" spans="1:13" ht="15">
      <c r="A184" s="163" t="s">
        <v>140</v>
      </c>
      <c r="B184" s="163" t="s">
        <v>139</v>
      </c>
      <c r="C184" s="163"/>
      <c r="D184" s="164">
        <v>8</v>
      </c>
      <c r="E184" s="164" t="s">
        <v>45</v>
      </c>
      <c r="F184" s="164" t="s">
        <v>20</v>
      </c>
      <c r="G184" s="164">
        <v>1</v>
      </c>
      <c r="H184" s="165">
        <f t="shared" si="11"/>
        <v>7175.532</v>
      </c>
      <c r="I184" s="166">
        <f t="shared" si="8"/>
        <v>86106.384</v>
      </c>
      <c r="J184" s="164">
        <v>12</v>
      </c>
      <c r="K184" s="166">
        <f t="shared" si="9"/>
        <v>11795.395068493151</v>
      </c>
      <c r="L184" s="166"/>
      <c r="M184" s="166">
        <f t="shared" si="10"/>
        <v>97901.77906849315</v>
      </c>
    </row>
    <row r="185" spans="1:13" ht="15">
      <c r="A185" s="163" t="s">
        <v>112</v>
      </c>
      <c r="B185" s="163" t="s">
        <v>139</v>
      </c>
      <c r="C185" s="163"/>
      <c r="D185" s="164">
        <v>8</v>
      </c>
      <c r="E185" s="164" t="s">
        <v>45</v>
      </c>
      <c r="F185" s="164" t="s">
        <v>20</v>
      </c>
      <c r="G185" s="164">
        <v>1</v>
      </c>
      <c r="H185" s="165">
        <f>8495.55*1.05</f>
        <v>8920.3275</v>
      </c>
      <c r="I185" s="166">
        <f t="shared" si="8"/>
        <v>17840.655</v>
      </c>
      <c r="J185" s="164">
        <v>2</v>
      </c>
      <c r="K185" s="166">
        <f t="shared" si="9"/>
        <v>2443.925342465753</v>
      </c>
      <c r="L185" s="166"/>
      <c r="M185" s="166">
        <f t="shared" si="10"/>
        <v>20284.580342465753</v>
      </c>
    </row>
    <row r="186" spans="1:13" ht="15">
      <c r="A186" s="163" t="s">
        <v>112</v>
      </c>
      <c r="B186" s="163" t="s">
        <v>139</v>
      </c>
      <c r="C186" s="163"/>
      <c r="D186" s="164">
        <v>8</v>
      </c>
      <c r="E186" s="164" t="s">
        <v>45</v>
      </c>
      <c r="F186" s="164" t="s">
        <v>20</v>
      </c>
      <c r="G186" s="164">
        <v>1</v>
      </c>
      <c r="H186" s="165">
        <f>8495.55*1.05</f>
        <v>8920.3275</v>
      </c>
      <c r="I186" s="166">
        <f t="shared" si="8"/>
        <v>35681.31</v>
      </c>
      <c r="J186" s="164">
        <v>4</v>
      </c>
      <c r="K186" s="166">
        <f t="shared" si="9"/>
        <v>4887.850684931506</v>
      </c>
      <c r="L186" s="166"/>
      <c r="M186" s="166">
        <f t="shared" si="10"/>
        <v>40569.16068493151</v>
      </c>
    </row>
    <row r="187" spans="1:13" ht="15">
      <c r="A187" s="163" t="s">
        <v>112</v>
      </c>
      <c r="B187" s="163" t="s">
        <v>139</v>
      </c>
      <c r="C187" s="163"/>
      <c r="D187" s="164">
        <v>8</v>
      </c>
      <c r="E187" s="164" t="s">
        <v>45</v>
      </c>
      <c r="F187" s="164" t="s">
        <v>20</v>
      </c>
      <c r="G187" s="164">
        <v>1</v>
      </c>
      <c r="H187" s="165">
        <f>8495.55*1.05</f>
        <v>8920.3275</v>
      </c>
      <c r="I187" s="166">
        <f t="shared" si="8"/>
        <v>17840.655</v>
      </c>
      <c r="J187" s="164">
        <v>2</v>
      </c>
      <c r="K187" s="166">
        <f t="shared" si="9"/>
        <v>2443.925342465753</v>
      </c>
      <c r="L187" s="166"/>
      <c r="M187" s="166">
        <f t="shared" si="10"/>
        <v>20284.580342465753</v>
      </c>
    </row>
    <row r="188" spans="1:13" ht="15">
      <c r="A188" s="163" t="s">
        <v>112</v>
      </c>
      <c r="B188" s="163" t="s">
        <v>139</v>
      </c>
      <c r="C188" s="163"/>
      <c r="D188" s="164">
        <v>8</v>
      </c>
      <c r="E188" s="164" t="s">
        <v>45</v>
      </c>
      <c r="F188" s="164" t="s">
        <v>20</v>
      </c>
      <c r="G188" s="164">
        <v>1</v>
      </c>
      <c r="H188" s="165">
        <f>8495.55*1.05</f>
        <v>8920.3275</v>
      </c>
      <c r="I188" s="166">
        <f t="shared" si="8"/>
        <v>17840.655</v>
      </c>
      <c r="J188" s="164">
        <v>2</v>
      </c>
      <c r="K188" s="166">
        <f t="shared" si="9"/>
        <v>2443.925342465753</v>
      </c>
      <c r="L188" s="166"/>
      <c r="M188" s="166">
        <f t="shared" si="10"/>
        <v>20284.580342465753</v>
      </c>
    </row>
    <row r="189" spans="1:13" ht="15">
      <c r="A189" s="163" t="s">
        <v>112</v>
      </c>
      <c r="B189" s="163" t="s">
        <v>139</v>
      </c>
      <c r="C189" s="163"/>
      <c r="D189" s="164">
        <v>8</v>
      </c>
      <c r="E189" s="164" t="s">
        <v>45</v>
      </c>
      <c r="F189" s="164" t="s">
        <v>20</v>
      </c>
      <c r="G189" s="164">
        <v>1</v>
      </c>
      <c r="H189" s="165">
        <f>8529.9*1.05</f>
        <v>8956.395</v>
      </c>
      <c r="I189" s="166">
        <f t="shared" si="8"/>
        <v>107476.74</v>
      </c>
      <c r="J189" s="164">
        <v>12</v>
      </c>
      <c r="K189" s="166">
        <f t="shared" si="9"/>
        <v>14722.841095890411</v>
      </c>
      <c r="L189" s="166"/>
      <c r="M189" s="166">
        <f t="shared" si="10"/>
        <v>122199.58109589042</v>
      </c>
    </row>
    <row r="190" spans="1:13" ht="15">
      <c r="A190" s="163" t="s">
        <v>271</v>
      </c>
      <c r="B190" s="163" t="s">
        <v>139</v>
      </c>
      <c r="C190" s="163"/>
      <c r="D190" s="164">
        <v>8</v>
      </c>
      <c r="E190" s="164" t="s">
        <v>45</v>
      </c>
      <c r="F190" s="164" t="s">
        <v>20</v>
      </c>
      <c r="G190" s="164">
        <v>1</v>
      </c>
      <c r="H190" s="165">
        <v>8954.06</v>
      </c>
      <c r="I190" s="166">
        <f t="shared" si="8"/>
        <v>107448.72</v>
      </c>
      <c r="J190" s="164">
        <v>12</v>
      </c>
      <c r="K190" s="166">
        <f t="shared" si="9"/>
        <v>14719.002739726027</v>
      </c>
      <c r="L190" s="166"/>
      <c r="M190" s="166">
        <f t="shared" si="10"/>
        <v>122167.72273972603</v>
      </c>
    </row>
    <row r="191" spans="1:13" ht="15">
      <c r="A191" s="163" t="s">
        <v>112</v>
      </c>
      <c r="B191" s="163" t="s">
        <v>139</v>
      </c>
      <c r="C191" s="163"/>
      <c r="D191" s="164">
        <v>8</v>
      </c>
      <c r="E191" s="164" t="s">
        <v>45</v>
      </c>
      <c r="F191" s="164" t="s">
        <v>20</v>
      </c>
      <c r="G191" s="164">
        <v>1</v>
      </c>
      <c r="H191" s="165">
        <f>9808.88*1.05</f>
        <v>10299.323999999999</v>
      </c>
      <c r="I191" s="166">
        <f t="shared" si="8"/>
        <v>123591.88799999998</v>
      </c>
      <c r="J191" s="164">
        <v>12</v>
      </c>
      <c r="K191" s="166">
        <f t="shared" si="9"/>
        <v>16930.395616438353</v>
      </c>
      <c r="L191" s="166"/>
      <c r="M191" s="166">
        <f t="shared" si="10"/>
        <v>140522.28361643833</v>
      </c>
    </row>
    <row r="192" spans="1:13" ht="15">
      <c r="A192" s="163" t="s">
        <v>112</v>
      </c>
      <c r="B192" s="163" t="s">
        <v>139</v>
      </c>
      <c r="C192" s="163"/>
      <c r="D192" s="164">
        <v>8</v>
      </c>
      <c r="E192" s="164" t="s">
        <v>45</v>
      </c>
      <c r="F192" s="164" t="s">
        <v>20</v>
      </c>
      <c r="G192" s="164">
        <v>1</v>
      </c>
      <c r="H192" s="165">
        <f>8495.06*1.05</f>
        <v>8919.813</v>
      </c>
      <c r="I192" s="166">
        <f t="shared" si="8"/>
        <v>107037.756</v>
      </c>
      <c r="J192" s="164">
        <v>12</v>
      </c>
      <c r="K192" s="166">
        <f t="shared" si="9"/>
        <v>14662.706301369863</v>
      </c>
      <c r="L192" s="166"/>
      <c r="M192" s="166">
        <f t="shared" si="10"/>
        <v>121700.46230136986</v>
      </c>
    </row>
    <row r="193" spans="1:13" ht="15">
      <c r="A193" s="163" t="s">
        <v>112</v>
      </c>
      <c r="B193" s="163" t="s">
        <v>139</v>
      </c>
      <c r="C193" s="163"/>
      <c r="D193" s="164">
        <v>8</v>
      </c>
      <c r="E193" s="164" t="s">
        <v>45</v>
      </c>
      <c r="F193" s="164" t="s">
        <v>20</v>
      </c>
      <c r="G193" s="164">
        <v>1</v>
      </c>
      <c r="H193" s="165">
        <f>8495.06*1.05</f>
        <v>8919.813</v>
      </c>
      <c r="I193" s="166">
        <f t="shared" si="8"/>
        <v>107037.756</v>
      </c>
      <c r="J193" s="164">
        <v>12</v>
      </c>
      <c r="K193" s="166">
        <f t="shared" si="9"/>
        <v>14662.706301369863</v>
      </c>
      <c r="L193" s="166"/>
      <c r="M193" s="166">
        <f t="shared" si="10"/>
        <v>121700.46230136986</v>
      </c>
    </row>
    <row r="194" spans="1:13" ht="15">
      <c r="A194" s="163" t="s">
        <v>112</v>
      </c>
      <c r="B194" s="163" t="s">
        <v>139</v>
      </c>
      <c r="C194" s="163"/>
      <c r="D194" s="164">
        <v>8</v>
      </c>
      <c r="E194" s="164" t="s">
        <v>45</v>
      </c>
      <c r="F194" s="164" t="s">
        <v>20</v>
      </c>
      <c r="G194" s="164">
        <v>1</v>
      </c>
      <c r="H194" s="165">
        <f>8527.66*1.05</f>
        <v>8954.043</v>
      </c>
      <c r="I194" s="166">
        <f t="shared" si="8"/>
        <v>107448.516</v>
      </c>
      <c r="J194" s="164">
        <v>12</v>
      </c>
      <c r="K194" s="166">
        <f t="shared" si="9"/>
        <v>14718.974794520549</v>
      </c>
      <c r="L194" s="166"/>
      <c r="M194" s="166">
        <f t="shared" si="10"/>
        <v>122167.49079452055</v>
      </c>
    </row>
    <row r="195" spans="1:13" ht="15">
      <c r="A195" s="163" t="s">
        <v>112</v>
      </c>
      <c r="B195" s="163" t="s">
        <v>139</v>
      </c>
      <c r="C195" s="163"/>
      <c r="D195" s="164">
        <v>8</v>
      </c>
      <c r="E195" s="164" t="s">
        <v>45</v>
      </c>
      <c r="F195" s="164" t="s">
        <v>20</v>
      </c>
      <c r="G195" s="164">
        <v>1</v>
      </c>
      <c r="H195" s="165">
        <f>8527.66*1.05</f>
        <v>8954.043</v>
      </c>
      <c r="I195" s="166">
        <f t="shared" si="8"/>
        <v>107448.516</v>
      </c>
      <c r="J195" s="164">
        <v>12</v>
      </c>
      <c r="K195" s="166">
        <f t="shared" si="9"/>
        <v>14718.974794520549</v>
      </c>
      <c r="L195" s="166"/>
      <c r="M195" s="166">
        <f t="shared" si="10"/>
        <v>122167.49079452055</v>
      </c>
    </row>
    <row r="196" spans="1:13" ht="15">
      <c r="A196" s="163" t="s">
        <v>144</v>
      </c>
      <c r="B196" s="163" t="s">
        <v>139</v>
      </c>
      <c r="C196" s="163"/>
      <c r="D196" s="164">
        <v>8</v>
      </c>
      <c r="E196" s="164" t="s">
        <v>45</v>
      </c>
      <c r="F196" s="164" t="s">
        <v>20</v>
      </c>
      <c r="G196" s="164">
        <v>1</v>
      </c>
      <c r="H196" s="165">
        <v>7053.63</v>
      </c>
      <c r="I196" s="166">
        <f t="shared" si="8"/>
        <v>84643.56</v>
      </c>
      <c r="J196" s="164">
        <v>12</v>
      </c>
      <c r="K196" s="166">
        <f t="shared" si="9"/>
        <v>11595.008219178082</v>
      </c>
      <c r="L196" s="166"/>
      <c r="M196" s="166">
        <f t="shared" si="10"/>
        <v>96238.56821917808</v>
      </c>
    </row>
    <row r="197" spans="1:13" ht="15">
      <c r="A197" s="163" t="s">
        <v>142</v>
      </c>
      <c r="B197" s="163" t="s">
        <v>139</v>
      </c>
      <c r="C197" s="163"/>
      <c r="D197" s="164">
        <v>8</v>
      </c>
      <c r="E197" s="164" t="s">
        <v>45</v>
      </c>
      <c r="F197" s="164" t="s">
        <v>20</v>
      </c>
      <c r="G197" s="164">
        <v>1</v>
      </c>
      <c r="H197" s="165">
        <f>6718*1.05</f>
        <v>7053.900000000001</v>
      </c>
      <c r="I197" s="166">
        <f t="shared" si="8"/>
        <v>84646.8</v>
      </c>
      <c r="J197" s="164">
        <v>12</v>
      </c>
      <c r="K197" s="166">
        <f t="shared" si="9"/>
        <v>11595.452054794521</v>
      </c>
      <c r="L197" s="166"/>
      <c r="M197" s="166">
        <f t="shared" si="10"/>
        <v>96242.25205479452</v>
      </c>
    </row>
    <row r="198" spans="1:13" ht="15">
      <c r="A198" s="163" t="s">
        <v>142</v>
      </c>
      <c r="B198" s="163" t="s">
        <v>139</v>
      </c>
      <c r="C198" s="163"/>
      <c r="D198" s="164">
        <v>8</v>
      </c>
      <c r="E198" s="164" t="s">
        <v>45</v>
      </c>
      <c r="F198" s="164" t="s">
        <v>20</v>
      </c>
      <c r="G198" s="164">
        <v>1</v>
      </c>
      <c r="H198" s="165">
        <f aca="true" t="shared" si="12" ref="H198:H220">6718*1.05</f>
        <v>7053.900000000001</v>
      </c>
      <c r="I198" s="166">
        <f t="shared" si="8"/>
        <v>84646.8</v>
      </c>
      <c r="J198" s="164">
        <v>12</v>
      </c>
      <c r="K198" s="166">
        <f t="shared" si="9"/>
        <v>11595.452054794521</v>
      </c>
      <c r="L198" s="166"/>
      <c r="M198" s="166">
        <f t="shared" si="10"/>
        <v>96242.25205479452</v>
      </c>
    </row>
    <row r="199" spans="1:13" ht="15">
      <c r="A199" s="163" t="s">
        <v>142</v>
      </c>
      <c r="B199" s="163" t="s">
        <v>139</v>
      </c>
      <c r="C199" s="163"/>
      <c r="D199" s="164">
        <v>8</v>
      </c>
      <c r="E199" s="164" t="s">
        <v>45</v>
      </c>
      <c r="F199" s="164" t="s">
        <v>20</v>
      </c>
      <c r="G199" s="164">
        <v>1</v>
      </c>
      <c r="H199" s="165">
        <f t="shared" si="12"/>
        <v>7053.900000000001</v>
      </c>
      <c r="I199" s="166">
        <f t="shared" si="8"/>
        <v>84646.8</v>
      </c>
      <c r="J199" s="164">
        <v>12</v>
      </c>
      <c r="K199" s="166">
        <f t="shared" si="9"/>
        <v>11595.452054794521</v>
      </c>
      <c r="L199" s="166"/>
      <c r="M199" s="166">
        <f t="shared" si="10"/>
        <v>96242.25205479452</v>
      </c>
    </row>
    <row r="200" spans="1:13" ht="15">
      <c r="A200" s="163" t="s">
        <v>142</v>
      </c>
      <c r="B200" s="163" t="s">
        <v>139</v>
      </c>
      <c r="C200" s="163"/>
      <c r="D200" s="164">
        <v>8</v>
      </c>
      <c r="E200" s="164" t="s">
        <v>45</v>
      </c>
      <c r="F200" s="164" t="s">
        <v>20</v>
      </c>
      <c r="G200" s="164">
        <v>1</v>
      </c>
      <c r="H200" s="165">
        <f t="shared" si="12"/>
        <v>7053.900000000001</v>
      </c>
      <c r="I200" s="166">
        <f t="shared" si="8"/>
        <v>84646.8</v>
      </c>
      <c r="J200" s="164">
        <v>12</v>
      </c>
      <c r="K200" s="166">
        <f t="shared" si="9"/>
        <v>11595.452054794521</v>
      </c>
      <c r="L200" s="166"/>
      <c r="M200" s="166">
        <f t="shared" si="10"/>
        <v>96242.25205479452</v>
      </c>
    </row>
    <row r="201" spans="1:13" ht="15">
      <c r="A201" s="163" t="s">
        <v>142</v>
      </c>
      <c r="B201" s="163" t="s">
        <v>139</v>
      </c>
      <c r="C201" s="163"/>
      <c r="D201" s="164">
        <v>8</v>
      </c>
      <c r="E201" s="164" t="s">
        <v>45</v>
      </c>
      <c r="F201" s="164" t="s">
        <v>20</v>
      </c>
      <c r="G201" s="164">
        <v>1</v>
      </c>
      <c r="H201" s="165">
        <f t="shared" si="12"/>
        <v>7053.900000000001</v>
      </c>
      <c r="I201" s="166">
        <f t="shared" si="8"/>
        <v>84646.8</v>
      </c>
      <c r="J201" s="164">
        <v>12</v>
      </c>
      <c r="K201" s="166">
        <f t="shared" si="9"/>
        <v>11595.452054794521</v>
      </c>
      <c r="L201" s="166"/>
      <c r="M201" s="166">
        <f t="shared" si="10"/>
        <v>96242.25205479452</v>
      </c>
    </row>
    <row r="202" spans="1:13" ht="15">
      <c r="A202" s="163" t="s">
        <v>142</v>
      </c>
      <c r="B202" s="163" t="s">
        <v>139</v>
      </c>
      <c r="C202" s="163"/>
      <c r="D202" s="164">
        <v>8</v>
      </c>
      <c r="E202" s="164" t="s">
        <v>45</v>
      </c>
      <c r="F202" s="164" t="s">
        <v>20</v>
      </c>
      <c r="G202" s="164">
        <v>1</v>
      </c>
      <c r="H202" s="165">
        <f t="shared" si="12"/>
        <v>7053.900000000001</v>
      </c>
      <c r="I202" s="166">
        <f aca="true" t="shared" si="13" ref="I202:I273">+H202*J202</f>
        <v>84646.8</v>
      </c>
      <c r="J202" s="164">
        <v>12</v>
      </c>
      <c r="K202" s="166">
        <f aca="true" t="shared" si="14" ref="K202:K273">+I202/365*50</f>
        <v>11595.452054794521</v>
      </c>
      <c r="L202" s="166"/>
      <c r="M202" s="166">
        <f aca="true" t="shared" si="15" ref="M202:M273">+I202+K202</f>
        <v>96242.25205479452</v>
      </c>
    </row>
    <row r="203" spans="1:13" ht="15">
      <c r="A203" s="163" t="s">
        <v>142</v>
      </c>
      <c r="B203" s="163" t="s">
        <v>139</v>
      </c>
      <c r="C203" s="163"/>
      <c r="D203" s="164">
        <v>8</v>
      </c>
      <c r="E203" s="164" t="s">
        <v>45</v>
      </c>
      <c r="F203" s="164" t="s">
        <v>20</v>
      </c>
      <c r="G203" s="164">
        <v>1</v>
      </c>
      <c r="H203" s="165">
        <f t="shared" si="12"/>
        <v>7053.900000000001</v>
      </c>
      <c r="I203" s="166">
        <f t="shared" si="13"/>
        <v>84646.8</v>
      </c>
      <c r="J203" s="164">
        <v>12</v>
      </c>
      <c r="K203" s="166">
        <f t="shared" si="14"/>
        <v>11595.452054794521</v>
      </c>
      <c r="L203" s="166"/>
      <c r="M203" s="166">
        <f t="shared" si="15"/>
        <v>96242.25205479452</v>
      </c>
    </row>
    <row r="204" spans="1:13" ht="15">
      <c r="A204" s="163" t="s">
        <v>142</v>
      </c>
      <c r="B204" s="163" t="s">
        <v>139</v>
      </c>
      <c r="C204" s="163"/>
      <c r="D204" s="164">
        <v>8</v>
      </c>
      <c r="E204" s="164" t="s">
        <v>45</v>
      </c>
      <c r="F204" s="164" t="s">
        <v>20</v>
      </c>
      <c r="G204" s="164">
        <v>1</v>
      </c>
      <c r="H204" s="165">
        <f t="shared" si="12"/>
        <v>7053.900000000001</v>
      </c>
      <c r="I204" s="166">
        <f t="shared" si="13"/>
        <v>84646.8</v>
      </c>
      <c r="J204" s="164">
        <v>12</v>
      </c>
      <c r="K204" s="166">
        <f t="shared" si="14"/>
        <v>11595.452054794521</v>
      </c>
      <c r="L204" s="166"/>
      <c r="M204" s="166">
        <f t="shared" si="15"/>
        <v>96242.25205479452</v>
      </c>
    </row>
    <row r="205" spans="1:13" ht="15">
      <c r="A205" s="163" t="s">
        <v>142</v>
      </c>
      <c r="B205" s="163" t="s">
        <v>139</v>
      </c>
      <c r="C205" s="163"/>
      <c r="D205" s="164">
        <v>8</v>
      </c>
      <c r="E205" s="164" t="s">
        <v>45</v>
      </c>
      <c r="F205" s="164" t="s">
        <v>20</v>
      </c>
      <c r="G205" s="164">
        <v>1</v>
      </c>
      <c r="H205" s="165">
        <f t="shared" si="12"/>
        <v>7053.900000000001</v>
      </c>
      <c r="I205" s="166">
        <f t="shared" si="13"/>
        <v>84646.8</v>
      </c>
      <c r="J205" s="164">
        <v>12</v>
      </c>
      <c r="K205" s="166">
        <f t="shared" si="14"/>
        <v>11595.452054794521</v>
      </c>
      <c r="L205" s="166"/>
      <c r="M205" s="166">
        <f t="shared" si="15"/>
        <v>96242.25205479452</v>
      </c>
    </row>
    <row r="206" spans="1:13" ht="15">
      <c r="A206" s="163" t="s">
        <v>272</v>
      </c>
      <c r="B206" s="163" t="s">
        <v>139</v>
      </c>
      <c r="C206" s="163"/>
      <c r="D206" s="164">
        <v>8</v>
      </c>
      <c r="E206" s="164" t="s">
        <v>45</v>
      </c>
      <c r="F206" s="164" t="s">
        <v>20</v>
      </c>
      <c r="G206" s="164">
        <v>1</v>
      </c>
      <c r="H206" s="165">
        <v>7053.63</v>
      </c>
      <c r="I206" s="166">
        <f t="shared" si="13"/>
        <v>84643.56</v>
      </c>
      <c r="J206" s="164">
        <v>12</v>
      </c>
      <c r="K206" s="166">
        <f t="shared" si="14"/>
        <v>11595.008219178082</v>
      </c>
      <c r="L206" s="166"/>
      <c r="M206" s="166">
        <f t="shared" si="15"/>
        <v>96238.56821917808</v>
      </c>
    </row>
    <row r="207" spans="1:13" ht="15">
      <c r="A207" s="163" t="s">
        <v>142</v>
      </c>
      <c r="B207" s="163" t="s">
        <v>139</v>
      </c>
      <c r="C207" s="163"/>
      <c r="D207" s="164">
        <v>8</v>
      </c>
      <c r="E207" s="164" t="s">
        <v>45</v>
      </c>
      <c r="F207" s="164" t="s">
        <v>20</v>
      </c>
      <c r="G207" s="164">
        <v>1</v>
      </c>
      <c r="H207" s="165">
        <f t="shared" si="12"/>
        <v>7053.900000000001</v>
      </c>
      <c r="I207" s="166">
        <f t="shared" si="13"/>
        <v>84646.8</v>
      </c>
      <c r="J207" s="164">
        <v>12</v>
      </c>
      <c r="K207" s="166">
        <f t="shared" si="14"/>
        <v>11595.452054794521</v>
      </c>
      <c r="L207" s="166"/>
      <c r="M207" s="166">
        <f t="shared" si="15"/>
        <v>96242.25205479452</v>
      </c>
    </row>
    <row r="208" spans="1:13" ht="15">
      <c r="A208" s="163" t="s">
        <v>142</v>
      </c>
      <c r="B208" s="163" t="s">
        <v>139</v>
      </c>
      <c r="C208" s="163"/>
      <c r="D208" s="164">
        <v>8</v>
      </c>
      <c r="E208" s="164" t="s">
        <v>45</v>
      </c>
      <c r="F208" s="164" t="s">
        <v>20</v>
      </c>
      <c r="G208" s="164">
        <v>1</v>
      </c>
      <c r="H208" s="165">
        <f t="shared" si="12"/>
        <v>7053.900000000001</v>
      </c>
      <c r="I208" s="166">
        <f t="shared" si="13"/>
        <v>84646.8</v>
      </c>
      <c r="J208" s="164">
        <v>12</v>
      </c>
      <c r="K208" s="166">
        <f t="shared" si="14"/>
        <v>11595.452054794521</v>
      </c>
      <c r="L208" s="166"/>
      <c r="M208" s="166">
        <f t="shared" si="15"/>
        <v>96242.25205479452</v>
      </c>
    </row>
    <row r="209" spans="1:13" ht="15">
      <c r="A209" s="163" t="s">
        <v>142</v>
      </c>
      <c r="B209" s="163" t="s">
        <v>139</v>
      </c>
      <c r="C209" s="163"/>
      <c r="D209" s="164">
        <v>8</v>
      </c>
      <c r="E209" s="164" t="s">
        <v>45</v>
      </c>
      <c r="F209" s="164" t="s">
        <v>20</v>
      </c>
      <c r="G209" s="164">
        <v>1</v>
      </c>
      <c r="H209" s="165">
        <f t="shared" si="12"/>
        <v>7053.900000000001</v>
      </c>
      <c r="I209" s="166">
        <f t="shared" si="13"/>
        <v>84646.8</v>
      </c>
      <c r="J209" s="164">
        <v>12</v>
      </c>
      <c r="K209" s="166">
        <f t="shared" si="14"/>
        <v>11595.452054794521</v>
      </c>
      <c r="L209" s="166"/>
      <c r="M209" s="166">
        <f t="shared" si="15"/>
        <v>96242.25205479452</v>
      </c>
    </row>
    <row r="210" spans="1:13" ht="15">
      <c r="A210" s="163" t="s">
        <v>142</v>
      </c>
      <c r="B210" s="163" t="s">
        <v>139</v>
      </c>
      <c r="C210" s="163"/>
      <c r="D210" s="164">
        <v>8</v>
      </c>
      <c r="E210" s="164" t="s">
        <v>45</v>
      </c>
      <c r="F210" s="164" t="s">
        <v>20</v>
      </c>
      <c r="G210" s="164">
        <v>1</v>
      </c>
      <c r="H210" s="165">
        <f t="shared" si="12"/>
        <v>7053.900000000001</v>
      </c>
      <c r="I210" s="166">
        <f t="shared" si="13"/>
        <v>84646.8</v>
      </c>
      <c r="J210" s="164">
        <v>12</v>
      </c>
      <c r="K210" s="166">
        <f t="shared" si="14"/>
        <v>11595.452054794521</v>
      </c>
      <c r="L210" s="166"/>
      <c r="M210" s="166">
        <f t="shared" si="15"/>
        <v>96242.25205479452</v>
      </c>
    </row>
    <row r="211" spans="1:13" ht="15">
      <c r="A211" s="163" t="s">
        <v>142</v>
      </c>
      <c r="B211" s="163" t="s">
        <v>139</v>
      </c>
      <c r="C211" s="163"/>
      <c r="D211" s="164">
        <v>8</v>
      </c>
      <c r="E211" s="164" t="s">
        <v>45</v>
      </c>
      <c r="F211" s="164" t="s">
        <v>20</v>
      </c>
      <c r="G211" s="164">
        <v>1</v>
      </c>
      <c r="H211" s="165">
        <f t="shared" si="12"/>
        <v>7053.900000000001</v>
      </c>
      <c r="I211" s="166">
        <f t="shared" si="13"/>
        <v>84646.8</v>
      </c>
      <c r="J211" s="164">
        <v>12</v>
      </c>
      <c r="K211" s="166">
        <f t="shared" si="14"/>
        <v>11595.452054794521</v>
      </c>
      <c r="L211" s="166"/>
      <c r="M211" s="166">
        <f t="shared" si="15"/>
        <v>96242.25205479452</v>
      </c>
    </row>
    <row r="212" spans="1:13" ht="15">
      <c r="A212" s="163" t="s">
        <v>142</v>
      </c>
      <c r="B212" s="163" t="s">
        <v>139</v>
      </c>
      <c r="C212" s="163"/>
      <c r="D212" s="164">
        <v>8</v>
      </c>
      <c r="E212" s="164" t="s">
        <v>45</v>
      </c>
      <c r="F212" s="164" t="s">
        <v>20</v>
      </c>
      <c r="G212" s="164">
        <v>1</v>
      </c>
      <c r="H212" s="165">
        <f t="shared" si="12"/>
        <v>7053.900000000001</v>
      </c>
      <c r="I212" s="166">
        <f t="shared" si="13"/>
        <v>84646.8</v>
      </c>
      <c r="J212" s="164">
        <v>12</v>
      </c>
      <c r="K212" s="166">
        <f t="shared" si="14"/>
        <v>11595.452054794521</v>
      </c>
      <c r="L212" s="166"/>
      <c r="M212" s="166">
        <f t="shared" si="15"/>
        <v>96242.25205479452</v>
      </c>
    </row>
    <row r="213" spans="1:13" ht="15">
      <c r="A213" s="163" t="s">
        <v>142</v>
      </c>
      <c r="B213" s="163" t="s">
        <v>139</v>
      </c>
      <c r="C213" s="163"/>
      <c r="D213" s="164">
        <v>8</v>
      </c>
      <c r="E213" s="164" t="s">
        <v>45</v>
      </c>
      <c r="F213" s="164" t="s">
        <v>20</v>
      </c>
      <c r="G213" s="164">
        <v>1</v>
      </c>
      <c r="H213" s="165">
        <f t="shared" si="12"/>
        <v>7053.900000000001</v>
      </c>
      <c r="I213" s="166">
        <f t="shared" si="13"/>
        <v>84646.8</v>
      </c>
      <c r="J213" s="164">
        <v>12</v>
      </c>
      <c r="K213" s="166">
        <f t="shared" si="14"/>
        <v>11595.452054794521</v>
      </c>
      <c r="L213" s="166"/>
      <c r="M213" s="166">
        <f t="shared" si="15"/>
        <v>96242.25205479452</v>
      </c>
    </row>
    <row r="214" spans="1:13" ht="15">
      <c r="A214" s="163" t="s">
        <v>142</v>
      </c>
      <c r="B214" s="163" t="s">
        <v>139</v>
      </c>
      <c r="C214" s="163"/>
      <c r="D214" s="164">
        <v>8</v>
      </c>
      <c r="E214" s="164" t="s">
        <v>45</v>
      </c>
      <c r="F214" s="164" t="s">
        <v>20</v>
      </c>
      <c r="G214" s="164">
        <v>1</v>
      </c>
      <c r="H214" s="165">
        <f t="shared" si="12"/>
        <v>7053.900000000001</v>
      </c>
      <c r="I214" s="166">
        <f t="shared" si="13"/>
        <v>84646.8</v>
      </c>
      <c r="J214" s="164">
        <v>12</v>
      </c>
      <c r="K214" s="166">
        <f t="shared" si="14"/>
        <v>11595.452054794521</v>
      </c>
      <c r="L214" s="166"/>
      <c r="M214" s="166">
        <f t="shared" si="15"/>
        <v>96242.25205479452</v>
      </c>
    </row>
    <row r="215" spans="1:13" ht="15">
      <c r="A215" s="163" t="s">
        <v>142</v>
      </c>
      <c r="B215" s="163" t="s">
        <v>139</v>
      </c>
      <c r="C215" s="163"/>
      <c r="D215" s="164">
        <v>8</v>
      </c>
      <c r="E215" s="164" t="s">
        <v>45</v>
      </c>
      <c r="F215" s="164" t="s">
        <v>20</v>
      </c>
      <c r="G215" s="164">
        <v>1</v>
      </c>
      <c r="H215" s="165">
        <f t="shared" si="12"/>
        <v>7053.900000000001</v>
      </c>
      <c r="I215" s="166">
        <f t="shared" si="13"/>
        <v>84646.8</v>
      </c>
      <c r="J215" s="164">
        <v>12</v>
      </c>
      <c r="K215" s="166">
        <f t="shared" si="14"/>
        <v>11595.452054794521</v>
      </c>
      <c r="L215" s="166"/>
      <c r="M215" s="166">
        <f t="shared" si="15"/>
        <v>96242.25205479452</v>
      </c>
    </row>
    <row r="216" spans="1:13" ht="15">
      <c r="A216" s="163" t="s">
        <v>142</v>
      </c>
      <c r="B216" s="163" t="s">
        <v>139</v>
      </c>
      <c r="C216" s="163"/>
      <c r="D216" s="164">
        <v>8</v>
      </c>
      <c r="E216" s="164" t="s">
        <v>45</v>
      </c>
      <c r="F216" s="164" t="s">
        <v>20</v>
      </c>
      <c r="G216" s="164">
        <v>1</v>
      </c>
      <c r="H216" s="165">
        <f t="shared" si="12"/>
        <v>7053.900000000001</v>
      </c>
      <c r="I216" s="166">
        <f t="shared" si="13"/>
        <v>84646.8</v>
      </c>
      <c r="J216" s="164">
        <v>12</v>
      </c>
      <c r="K216" s="166">
        <f t="shared" si="14"/>
        <v>11595.452054794521</v>
      </c>
      <c r="L216" s="166"/>
      <c r="M216" s="166">
        <f t="shared" si="15"/>
        <v>96242.25205479452</v>
      </c>
    </row>
    <row r="217" spans="1:13" ht="15">
      <c r="A217" s="163" t="s">
        <v>142</v>
      </c>
      <c r="B217" s="163" t="s">
        <v>139</v>
      </c>
      <c r="C217" s="163"/>
      <c r="D217" s="164">
        <v>8</v>
      </c>
      <c r="E217" s="164" t="s">
        <v>45</v>
      </c>
      <c r="F217" s="164" t="s">
        <v>20</v>
      </c>
      <c r="G217" s="164">
        <v>1</v>
      </c>
      <c r="H217" s="165">
        <f t="shared" si="12"/>
        <v>7053.900000000001</v>
      </c>
      <c r="I217" s="166">
        <f t="shared" si="13"/>
        <v>84646.8</v>
      </c>
      <c r="J217" s="164">
        <v>12</v>
      </c>
      <c r="K217" s="166">
        <f t="shared" si="14"/>
        <v>11595.452054794521</v>
      </c>
      <c r="L217" s="166"/>
      <c r="M217" s="166">
        <f t="shared" si="15"/>
        <v>96242.25205479452</v>
      </c>
    </row>
    <row r="218" spans="1:13" ht="15">
      <c r="A218" s="163" t="s">
        <v>142</v>
      </c>
      <c r="B218" s="163" t="s">
        <v>139</v>
      </c>
      <c r="C218" s="163"/>
      <c r="D218" s="164">
        <v>8</v>
      </c>
      <c r="E218" s="164" t="s">
        <v>45</v>
      </c>
      <c r="F218" s="164" t="s">
        <v>20</v>
      </c>
      <c r="G218" s="164">
        <v>1</v>
      </c>
      <c r="H218" s="165">
        <f t="shared" si="12"/>
        <v>7053.900000000001</v>
      </c>
      <c r="I218" s="166">
        <f t="shared" si="13"/>
        <v>84646.8</v>
      </c>
      <c r="J218" s="164">
        <v>12</v>
      </c>
      <c r="K218" s="166">
        <f t="shared" si="14"/>
        <v>11595.452054794521</v>
      </c>
      <c r="L218" s="166"/>
      <c r="M218" s="166">
        <f t="shared" si="15"/>
        <v>96242.25205479452</v>
      </c>
    </row>
    <row r="219" spans="1:13" ht="15">
      <c r="A219" s="163" t="s">
        <v>142</v>
      </c>
      <c r="B219" s="163" t="s">
        <v>139</v>
      </c>
      <c r="C219" s="163"/>
      <c r="D219" s="164">
        <v>8</v>
      </c>
      <c r="E219" s="164" t="s">
        <v>45</v>
      </c>
      <c r="F219" s="164" t="s">
        <v>20</v>
      </c>
      <c r="G219" s="164">
        <v>1</v>
      </c>
      <c r="H219" s="165">
        <f t="shared" si="12"/>
        <v>7053.900000000001</v>
      </c>
      <c r="I219" s="166">
        <f t="shared" si="13"/>
        <v>84646.8</v>
      </c>
      <c r="J219" s="164">
        <v>12</v>
      </c>
      <c r="K219" s="166">
        <f t="shared" si="14"/>
        <v>11595.452054794521</v>
      </c>
      <c r="L219" s="166"/>
      <c r="M219" s="166">
        <f t="shared" si="15"/>
        <v>96242.25205479452</v>
      </c>
    </row>
    <row r="220" spans="1:13" ht="15">
      <c r="A220" s="163" t="s">
        <v>142</v>
      </c>
      <c r="B220" s="163" t="s">
        <v>139</v>
      </c>
      <c r="C220" s="163"/>
      <c r="D220" s="164">
        <v>8</v>
      </c>
      <c r="E220" s="164" t="s">
        <v>45</v>
      </c>
      <c r="F220" s="164" t="s">
        <v>20</v>
      </c>
      <c r="G220" s="164">
        <v>1</v>
      </c>
      <c r="H220" s="165">
        <f t="shared" si="12"/>
        <v>7053.900000000001</v>
      </c>
      <c r="I220" s="166">
        <f t="shared" si="13"/>
        <v>84646.8</v>
      </c>
      <c r="J220" s="164">
        <v>12</v>
      </c>
      <c r="K220" s="166">
        <f t="shared" si="14"/>
        <v>11595.452054794521</v>
      </c>
      <c r="L220" s="166"/>
      <c r="M220" s="166">
        <f t="shared" si="15"/>
        <v>96242.25205479452</v>
      </c>
    </row>
    <row r="221" spans="1:13" ht="15">
      <c r="A221" s="163" t="s">
        <v>142</v>
      </c>
      <c r="B221" s="163" t="s">
        <v>139</v>
      </c>
      <c r="C221" s="163"/>
      <c r="D221" s="164">
        <v>8</v>
      </c>
      <c r="E221" s="164" t="s">
        <v>45</v>
      </c>
      <c r="F221" s="164" t="s">
        <v>20</v>
      </c>
      <c r="G221" s="164">
        <v>1</v>
      </c>
      <c r="H221" s="165">
        <f>6718*1.05</f>
        <v>7053.900000000001</v>
      </c>
      <c r="I221" s="166">
        <f t="shared" si="13"/>
        <v>84646.8</v>
      </c>
      <c r="J221" s="164">
        <v>12</v>
      </c>
      <c r="K221" s="166">
        <f t="shared" si="14"/>
        <v>11595.452054794521</v>
      </c>
      <c r="L221" s="166"/>
      <c r="M221" s="166">
        <f t="shared" si="15"/>
        <v>96242.25205479452</v>
      </c>
    </row>
    <row r="222" spans="1:13" ht="15">
      <c r="A222" s="163" t="s">
        <v>71</v>
      </c>
      <c r="B222" s="163" t="s">
        <v>139</v>
      </c>
      <c r="C222" s="163"/>
      <c r="D222" s="164">
        <v>8</v>
      </c>
      <c r="E222" s="164" t="s">
        <v>45</v>
      </c>
      <c r="F222" s="164" t="s">
        <v>20</v>
      </c>
      <c r="G222" s="164">
        <v>1</v>
      </c>
      <c r="H222" s="165">
        <f>6897.73*1.05</f>
        <v>7242.6165</v>
      </c>
      <c r="I222" s="166">
        <f t="shared" si="13"/>
        <v>86911.398</v>
      </c>
      <c r="J222" s="164">
        <v>12</v>
      </c>
      <c r="K222" s="166">
        <f t="shared" si="14"/>
        <v>11905.67095890411</v>
      </c>
      <c r="L222" s="166"/>
      <c r="M222" s="166">
        <f t="shared" si="15"/>
        <v>98817.06895890411</v>
      </c>
    </row>
    <row r="223" spans="1:13" ht="15">
      <c r="A223" s="163" t="s">
        <v>71</v>
      </c>
      <c r="B223" s="163" t="s">
        <v>139</v>
      </c>
      <c r="C223" s="163"/>
      <c r="D223" s="164">
        <v>8</v>
      </c>
      <c r="E223" s="164" t="s">
        <v>45</v>
      </c>
      <c r="F223" s="164" t="s">
        <v>20</v>
      </c>
      <c r="G223" s="164">
        <v>1</v>
      </c>
      <c r="H223" s="165">
        <f>6718*1.05</f>
        <v>7053.900000000001</v>
      </c>
      <c r="I223" s="166">
        <f t="shared" si="13"/>
        <v>84646.8</v>
      </c>
      <c r="J223" s="164">
        <v>12</v>
      </c>
      <c r="K223" s="166">
        <f t="shared" si="14"/>
        <v>11595.452054794521</v>
      </c>
      <c r="L223" s="166"/>
      <c r="M223" s="166">
        <f t="shared" si="15"/>
        <v>96242.25205479452</v>
      </c>
    </row>
    <row r="224" spans="1:13" ht="15">
      <c r="A224" s="163" t="s">
        <v>71</v>
      </c>
      <c r="B224" s="163" t="s">
        <v>139</v>
      </c>
      <c r="C224" s="163"/>
      <c r="D224" s="164">
        <v>8</v>
      </c>
      <c r="E224" s="164" t="s">
        <v>45</v>
      </c>
      <c r="F224" s="164" t="s">
        <v>20</v>
      </c>
      <c r="G224" s="164">
        <v>1</v>
      </c>
      <c r="H224" s="165">
        <f>9439*1.05</f>
        <v>9910.95</v>
      </c>
      <c r="I224" s="166">
        <f t="shared" si="13"/>
        <v>118931.40000000001</v>
      </c>
      <c r="J224" s="164">
        <v>12</v>
      </c>
      <c r="K224" s="166">
        <f t="shared" si="14"/>
        <v>16291.972602739728</v>
      </c>
      <c r="L224" s="166"/>
      <c r="M224" s="166">
        <f t="shared" si="15"/>
        <v>135223.37260273975</v>
      </c>
    </row>
    <row r="225" spans="1:13" ht="15">
      <c r="A225" s="163" t="s">
        <v>154</v>
      </c>
      <c r="B225" s="163" t="s">
        <v>134</v>
      </c>
      <c r="C225" s="163"/>
      <c r="D225" s="164">
        <v>8</v>
      </c>
      <c r="E225" s="164" t="s">
        <v>45</v>
      </c>
      <c r="F225" s="164" t="s">
        <v>20</v>
      </c>
      <c r="G225" s="164">
        <v>1</v>
      </c>
      <c r="H225" s="165">
        <f>7000.94*1.05</f>
        <v>7350.987</v>
      </c>
      <c r="I225" s="166">
        <f t="shared" si="13"/>
        <v>88211.844</v>
      </c>
      <c r="J225" s="164">
        <v>12</v>
      </c>
      <c r="K225" s="166">
        <f t="shared" si="14"/>
        <v>12083.814246575343</v>
      </c>
      <c r="L225" s="166"/>
      <c r="M225" s="166">
        <f t="shared" si="15"/>
        <v>100295.65824657535</v>
      </c>
    </row>
    <row r="226" spans="1:13" ht="15">
      <c r="A226" s="163" t="s">
        <v>282</v>
      </c>
      <c r="B226" s="163" t="s">
        <v>143</v>
      </c>
      <c r="C226" s="163"/>
      <c r="D226" s="164">
        <v>8</v>
      </c>
      <c r="E226" s="164" t="s">
        <v>45</v>
      </c>
      <c r="F226" s="164" t="s">
        <v>20</v>
      </c>
      <c r="G226" s="164">
        <v>1</v>
      </c>
      <c r="H226" s="165">
        <v>14829.84</v>
      </c>
      <c r="I226" s="166">
        <f t="shared" si="13"/>
        <v>88979.04000000001</v>
      </c>
      <c r="J226" s="164">
        <v>6</v>
      </c>
      <c r="K226" s="166">
        <f t="shared" si="14"/>
        <v>12188.909589041097</v>
      </c>
      <c r="L226" s="166"/>
      <c r="M226" s="166">
        <f t="shared" si="15"/>
        <v>101167.9495890411</v>
      </c>
    </row>
    <row r="227" spans="1:13" ht="15">
      <c r="A227" s="163" t="s">
        <v>275</v>
      </c>
      <c r="B227" s="163" t="s">
        <v>143</v>
      </c>
      <c r="C227" s="163"/>
      <c r="D227" s="164">
        <v>8</v>
      </c>
      <c r="E227" s="164" t="s">
        <v>45</v>
      </c>
      <c r="F227" s="164" t="s">
        <v>20</v>
      </c>
      <c r="G227" s="164">
        <v>1</v>
      </c>
      <c r="H227" s="165">
        <v>9591.76</v>
      </c>
      <c r="I227" s="166">
        <f>+H227*J227</f>
        <v>28775.28</v>
      </c>
      <c r="J227" s="164">
        <v>3</v>
      </c>
      <c r="K227" s="166">
        <f>+I227/365*50</f>
        <v>3941.8191780821912</v>
      </c>
      <c r="L227" s="166"/>
      <c r="M227" s="166">
        <f>+I227+K227</f>
        <v>32717.09917808219</v>
      </c>
    </row>
    <row r="228" spans="1:13" ht="15">
      <c r="A228" s="163" t="s">
        <v>275</v>
      </c>
      <c r="B228" s="163" t="s">
        <v>143</v>
      </c>
      <c r="C228" s="163"/>
      <c r="D228" s="164">
        <v>8</v>
      </c>
      <c r="E228" s="164" t="s">
        <v>45</v>
      </c>
      <c r="F228" s="164" t="s">
        <v>20</v>
      </c>
      <c r="G228" s="164">
        <v>1</v>
      </c>
      <c r="H228" s="165">
        <v>9591.76</v>
      </c>
      <c r="I228" s="166">
        <f t="shared" si="13"/>
        <v>81529.96</v>
      </c>
      <c r="J228" s="164">
        <v>8.5</v>
      </c>
      <c r="K228" s="166">
        <f t="shared" si="14"/>
        <v>11168.487671232877</v>
      </c>
      <c r="L228" s="166"/>
      <c r="M228" s="166">
        <f t="shared" si="15"/>
        <v>92698.44767123289</v>
      </c>
    </row>
    <row r="229" spans="1:13" ht="15">
      <c r="A229" s="163" t="s">
        <v>234</v>
      </c>
      <c r="B229" s="163" t="s">
        <v>143</v>
      </c>
      <c r="C229" s="163"/>
      <c r="D229" s="164">
        <v>8</v>
      </c>
      <c r="E229" s="164" t="s">
        <v>45</v>
      </c>
      <c r="F229" s="164" t="s">
        <v>20</v>
      </c>
      <c r="G229" s="164">
        <v>1</v>
      </c>
      <c r="H229" s="165">
        <v>7350</v>
      </c>
      <c r="I229" s="166">
        <f>+H229*J229</f>
        <v>22050</v>
      </c>
      <c r="J229" s="164">
        <v>3</v>
      </c>
      <c r="K229" s="166">
        <f>+I229/365*50</f>
        <v>3020.5479452054797</v>
      </c>
      <c r="L229" s="166"/>
      <c r="M229" s="166">
        <f>+I229+K229</f>
        <v>25070.54794520548</v>
      </c>
    </row>
    <row r="230" spans="1:13" ht="15">
      <c r="A230" s="163" t="s">
        <v>234</v>
      </c>
      <c r="B230" s="163" t="s">
        <v>143</v>
      </c>
      <c r="C230" s="163"/>
      <c r="D230" s="164">
        <v>8</v>
      </c>
      <c r="E230" s="164" t="s">
        <v>45</v>
      </c>
      <c r="F230" s="164" t="s">
        <v>20</v>
      </c>
      <c r="G230" s="164">
        <v>1</v>
      </c>
      <c r="H230" s="165">
        <v>7350</v>
      </c>
      <c r="I230" s="166">
        <f>+H230*J230</f>
        <v>7350</v>
      </c>
      <c r="J230" s="164">
        <v>1</v>
      </c>
      <c r="K230" s="166">
        <f>+I230/365*50</f>
        <v>1006.8493150684932</v>
      </c>
      <c r="L230" s="166"/>
      <c r="M230" s="166">
        <f>+I230+K230</f>
        <v>8356.849315068494</v>
      </c>
    </row>
    <row r="231" spans="1:13" ht="15">
      <c r="A231" s="163" t="s">
        <v>234</v>
      </c>
      <c r="B231" s="163" t="s">
        <v>143</v>
      </c>
      <c r="C231" s="163"/>
      <c r="D231" s="164">
        <v>8</v>
      </c>
      <c r="E231" s="164" t="s">
        <v>45</v>
      </c>
      <c r="F231" s="164" t="s">
        <v>20</v>
      </c>
      <c r="G231" s="164">
        <v>1</v>
      </c>
      <c r="H231" s="165">
        <v>7717.5</v>
      </c>
      <c r="I231" s="166">
        <f>+H231*J231</f>
        <v>61740</v>
      </c>
      <c r="J231" s="164">
        <v>8</v>
      </c>
      <c r="K231" s="166">
        <f>+I231/365*50</f>
        <v>8457.534246575342</v>
      </c>
      <c r="L231" s="166"/>
      <c r="M231" s="166">
        <f>+I231+K231</f>
        <v>70197.53424657535</v>
      </c>
    </row>
    <row r="232" spans="1:13" ht="15">
      <c r="A232" s="163" t="s">
        <v>234</v>
      </c>
      <c r="B232" s="163" t="s">
        <v>143</v>
      </c>
      <c r="C232" s="163"/>
      <c r="D232" s="164">
        <v>8</v>
      </c>
      <c r="E232" s="164" t="s">
        <v>45</v>
      </c>
      <c r="F232" s="164" t="s">
        <v>20</v>
      </c>
      <c r="G232" s="164">
        <v>1</v>
      </c>
      <c r="H232" s="165">
        <v>7717.5</v>
      </c>
      <c r="I232" s="166">
        <f t="shared" si="13"/>
        <v>92610</v>
      </c>
      <c r="J232" s="164">
        <v>12</v>
      </c>
      <c r="K232" s="166">
        <f t="shared" si="14"/>
        <v>12686.301369863015</v>
      </c>
      <c r="L232" s="166"/>
      <c r="M232" s="166">
        <f t="shared" si="15"/>
        <v>105296.30136986301</v>
      </c>
    </row>
    <row r="233" spans="1:13" ht="15">
      <c r="A233" s="163" t="s">
        <v>233</v>
      </c>
      <c r="B233" s="163" t="s">
        <v>143</v>
      </c>
      <c r="C233" s="163"/>
      <c r="D233" s="164">
        <v>8</v>
      </c>
      <c r="E233" s="164" t="s">
        <v>45</v>
      </c>
      <c r="F233" s="164" t="s">
        <v>20</v>
      </c>
      <c r="G233" s="164">
        <v>1</v>
      </c>
      <c r="H233" s="165">
        <v>6223.2</v>
      </c>
      <c r="I233" s="166">
        <f>+H233*J233</f>
        <v>0</v>
      </c>
      <c r="J233" s="164">
        <v>0</v>
      </c>
      <c r="K233" s="166">
        <f>+I233/365*50</f>
        <v>0</v>
      </c>
      <c r="L233" s="166"/>
      <c r="M233" s="166">
        <f>+I233+K233</f>
        <v>0</v>
      </c>
    </row>
    <row r="234" spans="1:13" ht="15">
      <c r="A234" s="163" t="s">
        <v>233</v>
      </c>
      <c r="B234" s="163" t="s">
        <v>143</v>
      </c>
      <c r="C234" s="163"/>
      <c r="D234" s="164">
        <v>8</v>
      </c>
      <c r="E234" s="164" t="s">
        <v>45</v>
      </c>
      <c r="F234" s="164" t="s">
        <v>20</v>
      </c>
      <c r="G234" s="164">
        <v>1</v>
      </c>
      <c r="H234" s="165">
        <v>6223.2</v>
      </c>
      <c r="I234" s="166">
        <f>+H234*J234</f>
        <v>12446.4</v>
      </c>
      <c r="J234" s="164">
        <v>2</v>
      </c>
      <c r="K234" s="166">
        <f>+I234/365*50</f>
        <v>1704.986301369863</v>
      </c>
      <c r="L234" s="166"/>
      <c r="M234" s="166">
        <f>+I234+K234</f>
        <v>14151.386301369863</v>
      </c>
    </row>
    <row r="235" spans="1:13" ht="15">
      <c r="A235" s="163" t="s">
        <v>233</v>
      </c>
      <c r="B235" s="163" t="s">
        <v>143</v>
      </c>
      <c r="C235" s="163"/>
      <c r="D235" s="164">
        <v>8</v>
      </c>
      <c r="E235" s="164" t="s">
        <v>45</v>
      </c>
      <c r="F235" s="164" t="s">
        <v>20</v>
      </c>
      <c r="G235" s="164">
        <v>1</v>
      </c>
      <c r="H235" s="165">
        <v>6223.2</v>
      </c>
      <c r="I235" s="166">
        <f>+H235*J235</f>
        <v>12446.4</v>
      </c>
      <c r="J235" s="164">
        <v>2</v>
      </c>
      <c r="K235" s="166">
        <f>+I235/365*50</f>
        <v>1704.986301369863</v>
      </c>
      <c r="L235" s="166"/>
      <c r="M235" s="166">
        <f>+I235+K235</f>
        <v>14151.386301369863</v>
      </c>
    </row>
    <row r="236" spans="1:13" ht="15">
      <c r="A236" s="163" t="s">
        <v>233</v>
      </c>
      <c r="B236" s="163" t="s">
        <v>143</v>
      </c>
      <c r="C236" s="163"/>
      <c r="D236" s="164">
        <v>8</v>
      </c>
      <c r="E236" s="164" t="s">
        <v>45</v>
      </c>
      <c r="F236" s="164" t="s">
        <v>20</v>
      </c>
      <c r="G236" s="164">
        <v>1</v>
      </c>
      <c r="H236" s="165">
        <v>6223.2</v>
      </c>
      <c r="I236" s="166">
        <f t="shared" si="13"/>
        <v>49785.6</v>
      </c>
      <c r="J236" s="164">
        <v>8</v>
      </c>
      <c r="K236" s="166">
        <f t="shared" si="14"/>
        <v>6819.945205479452</v>
      </c>
      <c r="L236" s="166"/>
      <c r="M236" s="166">
        <f t="shared" si="15"/>
        <v>56605.54520547945</v>
      </c>
    </row>
    <row r="237" spans="1:13" ht="15">
      <c r="A237" s="163" t="s">
        <v>233</v>
      </c>
      <c r="B237" s="163" t="s">
        <v>143</v>
      </c>
      <c r="C237" s="163"/>
      <c r="D237" s="164">
        <v>8</v>
      </c>
      <c r="E237" s="164" t="s">
        <v>45</v>
      </c>
      <c r="F237" s="164" t="s">
        <v>20</v>
      </c>
      <c r="G237" s="164">
        <v>1</v>
      </c>
      <c r="H237" s="165">
        <v>6223.2</v>
      </c>
      <c r="I237" s="166">
        <f>+H237*J237</f>
        <v>12446.4</v>
      </c>
      <c r="J237" s="164">
        <v>2</v>
      </c>
      <c r="K237" s="166">
        <f>+I237/365*50</f>
        <v>1704.986301369863</v>
      </c>
      <c r="L237" s="166"/>
      <c r="M237" s="166">
        <f>+I237+K237</f>
        <v>14151.386301369863</v>
      </c>
    </row>
    <row r="238" spans="1:13" ht="15">
      <c r="A238" s="163" t="s">
        <v>233</v>
      </c>
      <c r="B238" s="163" t="s">
        <v>143</v>
      </c>
      <c r="C238" s="163"/>
      <c r="D238" s="164">
        <v>8</v>
      </c>
      <c r="E238" s="164" t="s">
        <v>45</v>
      </c>
      <c r="F238" s="164" t="s">
        <v>20</v>
      </c>
      <c r="G238" s="164">
        <v>1</v>
      </c>
      <c r="H238" s="165">
        <f>6826*1.05</f>
        <v>7167.3</v>
      </c>
      <c r="I238" s="166">
        <f t="shared" si="13"/>
        <v>57338.4</v>
      </c>
      <c r="J238" s="164">
        <v>8</v>
      </c>
      <c r="K238" s="166">
        <f t="shared" si="14"/>
        <v>7854.575342465753</v>
      </c>
      <c r="L238" s="166"/>
      <c r="M238" s="166">
        <f t="shared" si="15"/>
        <v>65192.975342465754</v>
      </c>
    </row>
    <row r="239" spans="1:13" ht="15">
      <c r="A239" s="163" t="s">
        <v>53</v>
      </c>
      <c r="B239" s="163" t="s">
        <v>143</v>
      </c>
      <c r="C239" s="163"/>
      <c r="D239" s="164">
        <v>8</v>
      </c>
      <c r="E239" s="164" t="s">
        <v>45</v>
      </c>
      <c r="F239" s="164" t="s">
        <v>20</v>
      </c>
      <c r="G239" s="164">
        <v>1</v>
      </c>
      <c r="H239" s="165">
        <f>6897.73*1.05</f>
        <v>7242.6165</v>
      </c>
      <c r="I239" s="166">
        <f t="shared" si="13"/>
        <v>86911.398</v>
      </c>
      <c r="J239" s="164">
        <v>12</v>
      </c>
      <c r="K239" s="166">
        <f t="shared" si="14"/>
        <v>11905.67095890411</v>
      </c>
      <c r="L239" s="166"/>
      <c r="M239" s="166">
        <f t="shared" si="15"/>
        <v>98817.06895890411</v>
      </c>
    </row>
    <row r="240" spans="1:13" ht="15">
      <c r="A240" s="163" t="s">
        <v>112</v>
      </c>
      <c r="B240" s="163" t="s">
        <v>143</v>
      </c>
      <c r="C240" s="163"/>
      <c r="D240" s="164">
        <v>8</v>
      </c>
      <c r="E240" s="164" t="s">
        <v>45</v>
      </c>
      <c r="F240" s="164" t="s">
        <v>20</v>
      </c>
      <c r="G240" s="164">
        <v>1</v>
      </c>
      <c r="H240" s="165">
        <v>8955.28</v>
      </c>
      <c r="I240" s="166">
        <f t="shared" si="13"/>
        <v>107463.36000000002</v>
      </c>
      <c r="J240" s="164">
        <v>12</v>
      </c>
      <c r="K240" s="166">
        <f t="shared" si="14"/>
        <v>14721.008219178086</v>
      </c>
      <c r="L240" s="166"/>
      <c r="M240" s="166">
        <f t="shared" si="15"/>
        <v>122184.3682191781</v>
      </c>
    </row>
    <row r="241" spans="1:13" ht="15">
      <c r="A241" s="163" t="s">
        <v>268</v>
      </c>
      <c r="B241" s="163" t="s">
        <v>143</v>
      </c>
      <c r="C241" s="163"/>
      <c r="D241" s="164">
        <v>8</v>
      </c>
      <c r="E241" s="164" t="s">
        <v>45</v>
      </c>
      <c r="F241" s="164" t="s">
        <v>20</v>
      </c>
      <c r="G241" s="164">
        <v>1</v>
      </c>
      <c r="H241" s="165">
        <f>8527.39*1.05</f>
        <v>8953.7595</v>
      </c>
      <c r="I241" s="166">
        <f t="shared" si="13"/>
        <v>107445.114</v>
      </c>
      <c r="J241" s="164">
        <v>12</v>
      </c>
      <c r="K241" s="166">
        <f t="shared" si="14"/>
        <v>14718.508767123289</v>
      </c>
      <c r="L241" s="166"/>
      <c r="M241" s="166">
        <f t="shared" si="15"/>
        <v>122163.62276712329</v>
      </c>
    </row>
    <row r="242" spans="1:13" ht="15">
      <c r="A242" s="163" t="s">
        <v>112</v>
      </c>
      <c r="B242" s="163" t="s">
        <v>143</v>
      </c>
      <c r="C242" s="163"/>
      <c r="D242" s="164">
        <v>8</v>
      </c>
      <c r="E242" s="164" t="s">
        <v>45</v>
      </c>
      <c r="F242" s="164" t="s">
        <v>20</v>
      </c>
      <c r="G242" s="164">
        <v>1</v>
      </c>
      <c r="H242" s="165">
        <f>10864*1.05</f>
        <v>11407.2</v>
      </c>
      <c r="I242" s="166">
        <f t="shared" si="13"/>
        <v>136886.40000000002</v>
      </c>
      <c r="J242" s="164">
        <v>12</v>
      </c>
      <c r="K242" s="166">
        <f t="shared" si="14"/>
        <v>18751.56164383562</v>
      </c>
      <c r="L242" s="166"/>
      <c r="M242" s="166">
        <f t="shared" si="15"/>
        <v>155637.96164383565</v>
      </c>
    </row>
    <row r="243" spans="1:13" ht="15">
      <c r="A243" s="163" t="s">
        <v>112</v>
      </c>
      <c r="B243" s="163" t="s">
        <v>143</v>
      </c>
      <c r="C243" s="163"/>
      <c r="D243" s="164">
        <v>8</v>
      </c>
      <c r="E243" s="164" t="s">
        <v>45</v>
      </c>
      <c r="F243" s="164" t="s">
        <v>20</v>
      </c>
      <c r="G243" s="164">
        <v>1</v>
      </c>
      <c r="H243" s="165">
        <v>11406.77</v>
      </c>
      <c r="I243" s="166">
        <f t="shared" si="13"/>
        <v>136881.24</v>
      </c>
      <c r="J243" s="164">
        <v>12</v>
      </c>
      <c r="K243" s="166">
        <f t="shared" si="14"/>
        <v>18750.854794520546</v>
      </c>
      <c r="L243" s="166"/>
      <c r="M243" s="166">
        <f t="shared" si="15"/>
        <v>155632.09479452053</v>
      </c>
    </row>
    <row r="244" spans="1:13" ht="15">
      <c r="A244" s="163" t="s">
        <v>144</v>
      </c>
      <c r="B244" s="163" t="s">
        <v>143</v>
      </c>
      <c r="C244" s="163"/>
      <c r="D244" s="164">
        <v>8</v>
      </c>
      <c r="E244" s="164" t="s">
        <v>45</v>
      </c>
      <c r="F244" s="164" t="s">
        <v>20</v>
      </c>
      <c r="G244" s="164">
        <v>1</v>
      </c>
      <c r="H244" s="165">
        <v>7980.65</v>
      </c>
      <c r="I244" s="166">
        <f t="shared" si="13"/>
        <v>95767.79999999999</v>
      </c>
      <c r="J244" s="164">
        <v>12</v>
      </c>
      <c r="K244" s="166">
        <f t="shared" si="14"/>
        <v>13118.876712328765</v>
      </c>
      <c r="L244" s="166"/>
      <c r="M244" s="166">
        <f t="shared" si="15"/>
        <v>108886.67671232876</v>
      </c>
    </row>
    <row r="245" spans="1:13" ht="15">
      <c r="A245" s="163" t="s">
        <v>144</v>
      </c>
      <c r="B245" s="163" t="s">
        <v>143</v>
      </c>
      <c r="C245" s="163"/>
      <c r="D245" s="164">
        <v>8</v>
      </c>
      <c r="E245" s="164" t="s">
        <v>45</v>
      </c>
      <c r="F245" s="164" t="s">
        <v>20</v>
      </c>
      <c r="G245" s="164">
        <v>1</v>
      </c>
      <c r="H245" s="165">
        <v>7980.65</v>
      </c>
      <c r="I245" s="166">
        <f t="shared" si="13"/>
        <v>95767.79999999999</v>
      </c>
      <c r="J245" s="164">
        <v>12</v>
      </c>
      <c r="K245" s="166">
        <f t="shared" si="14"/>
        <v>13118.876712328765</v>
      </c>
      <c r="L245" s="166"/>
      <c r="M245" s="166">
        <f t="shared" si="15"/>
        <v>108886.67671232876</v>
      </c>
    </row>
    <row r="246" spans="1:13" ht="15">
      <c r="A246" s="163" t="s">
        <v>144</v>
      </c>
      <c r="B246" s="163" t="s">
        <v>143</v>
      </c>
      <c r="C246" s="163"/>
      <c r="D246" s="164">
        <v>8</v>
      </c>
      <c r="E246" s="164" t="s">
        <v>45</v>
      </c>
      <c r="F246" s="164" t="s">
        <v>20</v>
      </c>
      <c r="G246" s="164">
        <v>1</v>
      </c>
      <c r="H246" s="165">
        <f>6718*1.05</f>
        <v>7053.900000000001</v>
      </c>
      <c r="I246" s="166">
        <f t="shared" si="13"/>
        <v>84646.8</v>
      </c>
      <c r="J246" s="164">
        <v>12</v>
      </c>
      <c r="K246" s="166">
        <f t="shared" si="14"/>
        <v>11595.452054794521</v>
      </c>
      <c r="L246" s="166"/>
      <c r="M246" s="166">
        <f t="shared" si="15"/>
        <v>96242.25205479452</v>
      </c>
    </row>
    <row r="247" spans="1:13" ht="15">
      <c r="A247" s="163" t="s">
        <v>144</v>
      </c>
      <c r="B247" s="163" t="s">
        <v>143</v>
      </c>
      <c r="C247" s="163"/>
      <c r="D247" s="164">
        <v>8</v>
      </c>
      <c r="E247" s="164" t="s">
        <v>45</v>
      </c>
      <c r="F247" s="164" t="s">
        <v>20</v>
      </c>
      <c r="G247" s="164">
        <v>1</v>
      </c>
      <c r="H247" s="165">
        <v>7722.86</v>
      </c>
      <c r="I247" s="166">
        <f t="shared" si="13"/>
        <v>92674.31999999999</v>
      </c>
      <c r="J247" s="164">
        <v>12</v>
      </c>
      <c r="K247" s="166">
        <f t="shared" si="14"/>
        <v>12695.112328767122</v>
      </c>
      <c r="L247" s="166"/>
      <c r="M247" s="166">
        <f t="shared" si="15"/>
        <v>105369.43232876711</v>
      </c>
    </row>
    <row r="248" spans="1:13" ht="15">
      <c r="A248" s="163" t="s">
        <v>144</v>
      </c>
      <c r="B248" s="163" t="s">
        <v>143</v>
      </c>
      <c r="C248" s="163"/>
      <c r="D248" s="164">
        <v>8</v>
      </c>
      <c r="E248" s="164" t="s">
        <v>45</v>
      </c>
      <c r="F248" s="164" t="s">
        <v>20</v>
      </c>
      <c r="G248" s="164">
        <v>1</v>
      </c>
      <c r="H248" s="165">
        <f>7883.1*1.05</f>
        <v>8277.255000000001</v>
      </c>
      <c r="I248" s="166">
        <f t="shared" si="13"/>
        <v>99327.06000000001</v>
      </c>
      <c r="J248" s="164">
        <v>12</v>
      </c>
      <c r="K248" s="166">
        <f t="shared" si="14"/>
        <v>13606.446575342468</v>
      </c>
      <c r="L248" s="166"/>
      <c r="M248" s="166">
        <f t="shared" si="15"/>
        <v>112933.50657534249</v>
      </c>
    </row>
    <row r="249" spans="1:13" ht="15">
      <c r="A249" s="163" t="s">
        <v>144</v>
      </c>
      <c r="B249" s="163" t="s">
        <v>143</v>
      </c>
      <c r="C249" s="163"/>
      <c r="D249" s="164">
        <v>8</v>
      </c>
      <c r="E249" s="164" t="s">
        <v>45</v>
      </c>
      <c r="F249" s="164" t="s">
        <v>20</v>
      </c>
      <c r="G249" s="164">
        <v>1</v>
      </c>
      <c r="H249" s="165">
        <f>6353.58*1.05</f>
        <v>6671.259</v>
      </c>
      <c r="I249" s="166">
        <f t="shared" si="13"/>
        <v>80055.10800000001</v>
      </c>
      <c r="J249" s="164">
        <v>12</v>
      </c>
      <c r="K249" s="166">
        <f t="shared" si="14"/>
        <v>10966.453150684933</v>
      </c>
      <c r="L249" s="166"/>
      <c r="M249" s="166">
        <f t="shared" si="15"/>
        <v>91021.56115068494</v>
      </c>
    </row>
    <row r="250" spans="1:13" ht="15">
      <c r="A250" s="163" t="s">
        <v>144</v>
      </c>
      <c r="B250" s="163" t="s">
        <v>143</v>
      </c>
      <c r="C250" s="163"/>
      <c r="D250" s="164">
        <v>8</v>
      </c>
      <c r="E250" s="164" t="s">
        <v>45</v>
      </c>
      <c r="F250" s="164" t="s">
        <v>20</v>
      </c>
      <c r="G250" s="164">
        <v>1</v>
      </c>
      <c r="H250" s="165">
        <v>7242.5</v>
      </c>
      <c r="I250" s="166">
        <f t="shared" si="13"/>
        <v>86910</v>
      </c>
      <c r="J250" s="164">
        <v>12</v>
      </c>
      <c r="K250" s="166">
        <f t="shared" si="14"/>
        <v>11905.479452054795</v>
      </c>
      <c r="L250" s="166"/>
      <c r="M250" s="166">
        <f t="shared" si="15"/>
        <v>98815.4794520548</v>
      </c>
    </row>
    <row r="251" spans="1:13" ht="15">
      <c r="A251" s="163" t="s">
        <v>144</v>
      </c>
      <c r="B251" s="163" t="s">
        <v>143</v>
      </c>
      <c r="C251" s="163"/>
      <c r="D251" s="164">
        <v>8</v>
      </c>
      <c r="E251" s="164" t="s">
        <v>45</v>
      </c>
      <c r="F251" s="164" t="s">
        <v>20</v>
      </c>
      <c r="G251" s="164">
        <v>1</v>
      </c>
      <c r="H251" s="165">
        <f>6898*1.05</f>
        <v>7242.900000000001</v>
      </c>
      <c r="I251" s="166">
        <f t="shared" si="13"/>
        <v>86914.8</v>
      </c>
      <c r="J251" s="164">
        <v>12</v>
      </c>
      <c r="K251" s="166">
        <f t="shared" si="14"/>
        <v>11906.136986301372</v>
      </c>
      <c r="L251" s="166"/>
      <c r="M251" s="166">
        <f t="shared" si="15"/>
        <v>98820.93698630137</v>
      </c>
    </row>
    <row r="252" spans="1:13" ht="15">
      <c r="A252" s="163" t="s">
        <v>144</v>
      </c>
      <c r="B252" s="163" t="s">
        <v>143</v>
      </c>
      <c r="C252" s="163"/>
      <c r="D252" s="164">
        <v>8</v>
      </c>
      <c r="E252" s="164" t="s">
        <v>45</v>
      </c>
      <c r="F252" s="164" t="s">
        <v>20</v>
      </c>
      <c r="G252" s="164">
        <v>1</v>
      </c>
      <c r="H252" s="165">
        <v>7980.65</v>
      </c>
      <c r="I252" s="166">
        <f>+H252*J252</f>
        <v>0</v>
      </c>
      <c r="J252" s="164">
        <v>0</v>
      </c>
      <c r="K252" s="166">
        <f>+I252/365*50</f>
        <v>0</v>
      </c>
      <c r="L252" s="166"/>
      <c r="M252" s="166">
        <f>+I252+K252</f>
        <v>0</v>
      </c>
    </row>
    <row r="253" spans="1:13" ht="15">
      <c r="A253" s="163" t="s">
        <v>144</v>
      </c>
      <c r="B253" s="163" t="s">
        <v>143</v>
      </c>
      <c r="C253" s="163"/>
      <c r="D253" s="164">
        <v>8</v>
      </c>
      <c r="E253" s="164" t="s">
        <v>45</v>
      </c>
      <c r="F253" s="164" t="s">
        <v>20</v>
      </c>
      <c r="G253" s="164">
        <v>1</v>
      </c>
      <c r="H253" s="165">
        <v>7980.65</v>
      </c>
      <c r="I253" s="166">
        <f t="shared" si="13"/>
        <v>95767.79999999999</v>
      </c>
      <c r="J253" s="164">
        <v>12</v>
      </c>
      <c r="K253" s="166">
        <f t="shared" si="14"/>
        <v>13118.876712328765</v>
      </c>
      <c r="L253" s="166"/>
      <c r="M253" s="166">
        <f t="shared" si="15"/>
        <v>108886.67671232876</v>
      </c>
    </row>
    <row r="254" spans="1:13" ht="15">
      <c r="A254" s="163" t="s">
        <v>144</v>
      </c>
      <c r="B254" s="163" t="s">
        <v>143</v>
      </c>
      <c r="C254" s="163"/>
      <c r="D254" s="164">
        <v>8</v>
      </c>
      <c r="E254" s="164" t="s">
        <v>45</v>
      </c>
      <c r="F254" s="164" t="s">
        <v>20</v>
      </c>
      <c r="G254" s="164">
        <v>1</v>
      </c>
      <c r="H254" s="165">
        <f>7600.6*1.05</f>
        <v>7980.630000000001</v>
      </c>
      <c r="I254" s="166">
        <f t="shared" si="13"/>
        <v>95767.56000000001</v>
      </c>
      <c r="J254" s="164">
        <v>12</v>
      </c>
      <c r="K254" s="166">
        <f t="shared" si="14"/>
        <v>13118.84383561644</v>
      </c>
      <c r="L254" s="166"/>
      <c r="M254" s="166">
        <f t="shared" si="15"/>
        <v>108886.40383561645</v>
      </c>
    </row>
    <row r="255" spans="1:13" ht="15">
      <c r="A255" s="163" t="s">
        <v>144</v>
      </c>
      <c r="B255" s="163" t="s">
        <v>143</v>
      </c>
      <c r="C255" s="163"/>
      <c r="D255" s="164">
        <v>8</v>
      </c>
      <c r="E255" s="164" t="s">
        <v>45</v>
      </c>
      <c r="F255" s="164" t="s">
        <v>20</v>
      </c>
      <c r="G255" s="164">
        <v>1</v>
      </c>
      <c r="H255" s="165">
        <v>7980.65</v>
      </c>
      <c r="I255" s="166">
        <f t="shared" si="13"/>
        <v>95767.79999999999</v>
      </c>
      <c r="J255" s="164">
        <v>12</v>
      </c>
      <c r="K255" s="166">
        <f t="shared" si="14"/>
        <v>13118.876712328765</v>
      </c>
      <c r="L255" s="166"/>
      <c r="M255" s="166">
        <f t="shared" si="15"/>
        <v>108886.67671232876</v>
      </c>
    </row>
    <row r="256" spans="1:13" ht="15">
      <c r="A256" s="163" t="s">
        <v>144</v>
      </c>
      <c r="B256" s="163" t="s">
        <v>143</v>
      </c>
      <c r="C256" s="163"/>
      <c r="D256" s="164">
        <v>8</v>
      </c>
      <c r="E256" s="164" t="s">
        <v>45</v>
      </c>
      <c r="F256" s="164" t="s">
        <v>20</v>
      </c>
      <c r="G256" s="164">
        <v>1</v>
      </c>
      <c r="H256" s="165">
        <v>7660.8</v>
      </c>
      <c r="I256" s="166">
        <f t="shared" si="13"/>
        <v>91929.6</v>
      </c>
      <c r="J256" s="164">
        <v>12</v>
      </c>
      <c r="K256" s="166">
        <f t="shared" si="14"/>
        <v>12593.09589041096</v>
      </c>
      <c r="L256" s="166"/>
      <c r="M256" s="166">
        <f t="shared" si="15"/>
        <v>104522.69589041096</v>
      </c>
    </row>
    <row r="257" spans="1:13" ht="15">
      <c r="A257" s="163" t="s">
        <v>204</v>
      </c>
      <c r="B257" s="163" t="s">
        <v>143</v>
      </c>
      <c r="C257" s="163"/>
      <c r="D257" s="164">
        <v>8</v>
      </c>
      <c r="E257" s="164" t="s">
        <v>45</v>
      </c>
      <c r="F257" s="164" t="s">
        <v>20</v>
      </c>
      <c r="G257" s="164">
        <v>1</v>
      </c>
      <c r="H257" s="165">
        <f>9439*1.05</f>
        <v>9910.95</v>
      </c>
      <c r="I257" s="166">
        <f t="shared" si="13"/>
        <v>118931.40000000001</v>
      </c>
      <c r="J257" s="164">
        <v>12</v>
      </c>
      <c r="K257" s="166">
        <f t="shared" si="14"/>
        <v>16291.972602739728</v>
      </c>
      <c r="L257" s="166"/>
      <c r="M257" s="166">
        <f t="shared" si="15"/>
        <v>135223.37260273975</v>
      </c>
    </row>
    <row r="258" spans="1:13" ht="15">
      <c r="A258" s="163" t="s">
        <v>144</v>
      </c>
      <c r="B258" s="163" t="s">
        <v>143</v>
      </c>
      <c r="C258" s="163"/>
      <c r="D258" s="164">
        <v>8</v>
      </c>
      <c r="E258" s="164" t="s">
        <v>45</v>
      </c>
      <c r="F258" s="164" t="s">
        <v>20</v>
      </c>
      <c r="G258" s="164">
        <v>1</v>
      </c>
      <c r="H258" s="165">
        <v>7053.63</v>
      </c>
      <c r="I258" s="166">
        <f>+H258*J258</f>
        <v>7053.63</v>
      </c>
      <c r="J258" s="164">
        <v>1</v>
      </c>
      <c r="K258" s="166">
        <f>+I258/365*50</f>
        <v>966.2506849315068</v>
      </c>
      <c r="L258" s="166"/>
      <c r="M258" s="166">
        <f>+I258+K258</f>
        <v>8019.880684931507</v>
      </c>
    </row>
    <row r="259" spans="1:13" ht="15">
      <c r="A259" s="163" t="s">
        <v>144</v>
      </c>
      <c r="B259" s="163" t="s">
        <v>143</v>
      </c>
      <c r="C259" s="163"/>
      <c r="D259" s="164">
        <v>8</v>
      </c>
      <c r="E259" s="164" t="s">
        <v>45</v>
      </c>
      <c r="F259" s="164" t="s">
        <v>20</v>
      </c>
      <c r="G259" s="164">
        <v>1</v>
      </c>
      <c r="H259" s="165">
        <v>7053.63</v>
      </c>
      <c r="I259" s="166">
        <f t="shared" si="13"/>
        <v>77589.93000000001</v>
      </c>
      <c r="J259" s="164">
        <v>11</v>
      </c>
      <c r="K259" s="166">
        <f t="shared" si="14"/>
        <v>10628.757534246575</v>
      </c>
      <c r="L259" s="166"/>
      <c r="M259" s="166">
        <f t="shared" si="15"/>
        <v>88218.68753424658</v>
      </c>
    </row>
    <row r="260" spans="1:13" ht="15">
      <c r="A260" s="163"/>
      <c r="B260" s="163"/>
      <c r="C260" s="163"/>
      <c r="D260" s="164">
        <v>8</v>
      </c>
      <c r="E260" s="164" t="s">
        <v>45</v>
      </c>
      <c r="F260" s="164" t="s">
        <v>20</v>
      </c>
      <c r="G260" s="164">
        <v>1</v>
      </c>
      <c r="H260" s="165">
        <v>7053.63</v>
      </c>
      <c r="I260" s="166">
        <f>+H260*J260</f>
        <v>42321.78</v>
      </c>
      <c r="J260" s="164">
        <v>6</v>
      </c>
      <c r="K260" s="166">
        <f>+I260/365*50</f>
        <v>5797.504109589041</v>
      </c>
      <c r="L260" s="166"/>
      <c r="M260" s="166">
        <f>+I260+K260</f>
        <v>48119.28410958904</v>
      </c>
    </row>
    <row r="261" spans="1:13" ht="15">
      <c r="A261" s="163" t="s">
        <v>144</v>
      </c>
      <c r="B261" s="163" t="s">
        <v>143</v>
      </c>
      <c r="C261" s="163"/>
      <c r="D261" s="164">
        <v>8</v>
      </c>
      <c r="E261" s="164" t="s">
        <v>45</v>
      </c>
      <c r="F261" s="164" t="s">
        <v>20</v>
      </c>
      <c r="G261" s="164">
        <v>1</v>
      </c>
      <c r="H261" s="165">
        <f>6353.58*1.05</f>
        <v>6671.259</v>
      </c>
      <c r="I261" s="166">
        <f t="shared" si="13"/>
        <v>40027.554000000004</v>
      </c>
      <c r="J261" s="164">
        <v>6</v>
      </c>
      <c r="K261" s="166">
        <f t="shared" si="14"/>
        <v>5483.226575342466</v>
      </c>
      <c r="L261" s="166"/>
      <c r="M261" s="166">
        <f t="shared" si="15"/>
        <v>45510.78057534247</v>
      </c>
    </row>
    <row r="262" spans="1:13" ht="15">
      <c r="A262" s="163" t="s">
        <v>144</v>
      </c>
      <c r="B262" s="163" t="s">
        <v>143</v>
      </c>
      <c r="C262" s="163"/>
      <c r="D262" s="164">
        <v>8</v>
      </c>
      <c r="E262" s="164" t="s">
        <v>45</v>
      </c>
      <c r="F262" s="164" t="s">
        <v>20</v>
      </c>
      <c r="G262" s="164">
        <v>1</v>
      </c>
      <c r="H262" s="165">
        <v>7980.65</v>
      </c>
      <c r="I262" s="166">
        <f>+H262*J262</f>
        <v>47883.899999999994</v>
      </c>
      <c r="J262" s="164">
        <v>6</v>
      </c>
      <c r="K262" s="166">
        <f>+I262/365*50</f>
        <v>6559.438356164383</v>
      </c>
      <c r="L262" s="166"/>
      <c r="M262" s="166">
        <f>+I262+K262</f>
        <v>54443.33835616438</v>
      </c>
    </row>
    <row r="263" spans="1:13" ht="15">
      <c r="A263" s="163"/>
      <c r="B263" s="163"/>
      <c r="C263" s="163"/>
      <c r="D263" s="164">
        <v>8</v>
      </c>
      <c r="E263" s="164" t="s">
        <v>45</v>
      </c>
      <c r="F263" s="164" t="s">
        <v>20</v>
      </c>
      <c r="G263" s="164">
        <v>1</v>
      </c>
      <c r="H263" s="165">
        <v>7980.65</v>
      </c>
      <c r="I263" s="166">
        <f>+H263*J263</f>
        <v>47883.899999999994</v>
      </c>
      <c r="J263" s="164">
        <v>6</v>
      </c>
      <c r="K263" s="166">
        <f>+I263/365*50</f>
        <v>6559.438356164383</v>
      </c>
      <c r="L263" s="166"/>
      <c r="M263" s="166">
        <f>+I263+K263</f>
        <v>54443.33835616438</v>
      </c>
    </row>
    <row r="264" spans="1:13" ht="15">
      <c r="A264" s="163" t="s">
        <v>144</v>
      </c>
      <c r="B264" s="163" t="s">
        <v>143</v>
      </c>
      <c r="C264" s="163"/>
      <c r="D264" s="164">
        <v>8</v>
      </c>
      <c r="E264" s="164" t="s">
        <v>45</v>
      </c>
      <c r="F264" s="164" t="s">
        <v>20</v>
      </c>
      <c r="G264" s="164">
        <v>1</v>
      </c>
      <c r="H264" s="165">
        <v>7980.65</v>
      </c>
      <c r="I264" s="166">
        <f t="shared" si="13"/>
        <v>95767.79999999999</v>
      </c>
      <c r="J264" s="164">
        <v>12</v>
      </c>
      <c r="K264" s="166">
        <f t="shared" si="14"/>
        <v>13118.876712328765</v>
      </c>
      <c r="L264" s="166"/>
      <c r="M264" s="166">
        <f t="shared" si="15"/>
        <v>108886.67671232876</v>
      </c>
    </row>
    <row r="265" spans="1:13" ht="15">
      <c r="A265" s="163" t="s">
        <v>144</v>
      </c>
      <c r="B265" s="163" t="s">
        <v>143</v>
      </c>
      <c r="C265" s="163"/>
      <c r="D265" s="164">
        <v>8</v>
      </c>
      <c r="E265" s="164" t="s">
        <v>45</v>
      </c>
      <c r="F265" s="164" t="s">
        <v>20</v>
      </c>
      <c r="G265" s="164">
        <v>1</v>
      </c>
      <c r="H265" s="165">
        <v>7980.65</v>
      </c>
      <c r="I265" s="166">
        <f t="shared" si="13"/>
        <v>95767.79999999999</v>
      </c>
      <c r="J265" s="164">
        <v>12</v>
      </c>
      <c r="K265" s="166">
        <f t="shared" si="14"/>
        <v>13118.876712328765</v>
      </c>
      <c r="L265" s="166"/>
      <c r="M265" s="166">
        <f t="shared" si="15"/>
        <v>108886.67671232876</v>
      </c>
    </row>
    <row r="266" spans="1:13" ht="15">
      <c r="A266" s="163" t="s">
        <v>144</v>
      </c>
      <c r="B266" s="163" t="s">
        <v>143</v>
      </c>
      <c r="C266" s="163"/>
      <c r="D266" s="164">
        <v>8</v>
      </c>
      <c r="E266" s="164" t="s">
        <v>45</v>
      </c>
      <c r="F266" s="164" t="s">
        <v>20</v>
      </c>
      <c r="G266" s="164">
        <v>0</v>
      </c>
      <c r="H266" s="165">
        <v>7053.62</v>
      </c>
      <c r="I266" s="166">
        <f>+H266*J266</f>
        <v>14107.24</v>
      </c>
      <c r="J266" s="164">
        <v>2</v>
      </c>
      <c r="K266" s="166">
        <f>+I266/365*50</f>
        <v>1932.498630136986</v>
      </c>
      <c r="L266" s="166"/>
      <c r="M266" s="166">
        <f>+I266+K266</f>
        <v>16039.738630136986</v>
      </c>
    </row>
    <row r="267" spans="1:13" ht="15">
      <c r="A267" s="163" t="s">
        <v>144</v>
      </c>
      <c r="B267" s="163" t="s">
        <v>143</v>
      </c>
      <c r="C267" s="163"/>
      <c r="D267" s="164">
        <v>8</v>
      </c>
      <c r="E267" s="164" t="s">
        <v>45</v>
      </c>
      <c r="F267" s="164" t="s">
        <v>20</v>
      </c>
      <c r="G267" s="164">
        <v>1</v>
      </c>
      <c r="H267" s="165">
        <v>7980.95</v>
      </c>
      <c r="I267" s="166">
        <f t="shared" si="13"/>
        <v>79809.5</v>
      </c>
      <c r="J267" s="164">
        <v>10</v>
      </c>
      <c r="K267" s="166">
        <f t="shared" si="14"/>
        <v>10932.808219178081</v>
      </c>
      <c r="L267" s="166"/>
      <c r="M267" s="166">
        <f t="shared" si="15"/>
        <v>90742.30821917808</v>
      </c>
    </row>
    <row r="268" spans="1:13" ht="15">
      <c r="A268" s="163" t="s">
        <v>144</v>
      </c>
      <c r="B268" s="163" t="s">
        <v>143</v>
      </c>
      <c r="C268" s="163"/>
      <c r="D268" s="164">
        <v>8</v>
      </c>
      <c r="E268" s="164" t="s">
        <v>45</v>
      </c>
      <c r="F268" s="164" t="s">
        <v>20</v>
      </c>
      <c r="G268" s="164">
        <v>1</v>
      </c>
      <c r="H268" s="165">
        <v>7980.65</v>
      </c>
      <c r="I268" s="166">
        <f t="shared" si="13"/>
        <v>95767.79999999999</v>
      </c>
      <c r="J268" s="164">
        <v>12</v>
      </c>
      <c r="K268" s="166">
        <f t="shared" si="14"/>
        <v>13118.876712328765</v>
      </c>
      <c r="L268" s="166"/>
      <c r="M268" s="166">
        <f t="shared" si="15"/>
        <v>108886.67671232876</v>
      </c>
    </row>
    <row r="269" spans="1:13" ht="15">
      <c r="A269" s="163" t="s">
        <v>144</v>
      </c>
      <c r="B269" s="163" t="s">
        <v>143</v>
      </c>
      <c r="C269" s="163"/>
      <c r="D269" s="164">
        <v>8</v>
      </c>
      <c r="E269" s="164" t="s">
        <v>45</v>
      </c>
      <c r="F269" s="164" t="s">
        <v>20</v>
      </c>
      <c r="G269" s="164">
        <v>1</v>
      </c>
      <c r="H269" s="165">
        <f>6718*1.05</f>
        <v>7053.900000000001</v>
      </c>
      <c r="I269" s="166">
        <f t="shared" si="13"/>
        <v>84646.8</v>
      </c>
      <c r="J269" s="164">
        <v>12</v>
      </c>
      <c r="K269" s="166">
        <f t="shared" si="14"/>
        <v>11595.452054794521</v>
      </c>
      <c r="L269" s="166"/>
      <c r="M269" s="166">
        <f t="shared" si="15"/>
        <v>96242.25205479452</v>
      </c>
    </row>
    <row r="270" spans="1:13" ht="15">
      <c r="A270" s="163" t="s">
        <v>144</v>
      </c>
      <c r="B270" s="163" t="s">
        <v>143</v>
      </c>
      <c r="C270" s="163"/>
      <c r="D270" s="164">
        <v>8</v>
      </c>
      <c r="E270" s="164" t="s">
        <v>45</v>
      </c>
      <c r="F270" s="164" t="s">
        <v>20</v>
      </c>
      <c r="G270" s="164">
        <v>1</v>
      </c>
      <c r="H270" s="165">
        <f>6718*1.05</f>
        <v>7053.900000000001</v>
      </c>
      <c r="I270" s="166">
        <f>+H270*J270</f>
        <v>49377.3</v>
      </c>
      <c r="J270" s="164">
        <v>7</v>
      </c>
      <c r="K270" s="166">
        <f>+I270/365*50</f>
        <v>6764.013698630137</v>
      </c>
      <c r="L270" s="166"/>
      <c r="M270" s="166">
        <f>+I270+K270</f>
        <v>56141.31369863014</v>
      </c>
    </row>
    <row r="271" spans="1:13" ht="15">
      <c r="A271" s="163" t="s">
        <v>144</v>
      </c>
      <c r="B271" s="163" t="s">
        <v>143</v>
      </c>
      <c r="C271" s="163"/>
      <c r="D271" s="164">
        <v>8</v>
      </c>
      <c r="E271" s="164" t="s">
        <v>45</v>
      </c>
      <c r="F271" s="164" t="s">
        <v>20</v>
      </c>
      <c r="G271" s="164">
        <v>1</v>
      </c>
      <c r="H271" s="165">
        <f>6718*1.05</f>
        <v>7053.900000000001</v>
      </c>
      <c r="I271" s="166">
        <f t="shared" si="13"/>
        <v>35269.5</v>
      </c>
      <c r="J271" s="164">
        <v>5</v>
      </c>
      <c r="K271" s="166">
        <f t="shared" si="14"/>
        <v>4831.438356164384</v>
      </c>
      <c r="L271" s="166"/>
      <c r="M271" s="166">
        <f t="shared" si="15"/>
        <v>40100.938356164384</v>
      </c>
    </row>
    <row r="272" spans="1:13" ht="15">
      <c r="A272" s="163" t="s">
        <v>144</v>
      </c>
      <c r="B272" s="163" t="s">
        <v>143</v>
      </c>
      <c r="C272" s="163"/>
      <c r="D272" s="164">
        <v>8</v>
      </c>
      <c r="E272" s="164" t="s">
        <v>45</v>
      </c>
      <c r="F272" s="164" t="s">
        <v>20</v>
      </c>
      <c r="G272" s="164">
        <v>1</v>
      </c>
      <c r="H272" s="165">
        <f>6718*1.05</f>
        <v>7053.900000000001</v>
      </c>
      <c r="I272" s="166">
        <f t="shared" si="13"/>
        <v>84646.8</v>
      </c>
      <c r="J272" s="164">
        <v>12</v>
      </c>
      <c r="K272" s="166">
        <f t="shared" si="14"/>
        <v>11595.452054794521</v>
      </c>
      <c r="L272" s="166"/>
      <c r="M272" s="166">
        <f t="shared" si="15"/>
        <v>96242.25205479452</v>
      </c>
    </row>
    <row r="273" spans="1:13" ht="15">
      <c r="A273" s="163" t="s">
        <v>53</v>
      </c>
      <c r="B273" s="163" t="s">
        <v>143</v>
      </c>
      <c r="C273" s="163"/>
      <c r="D273" s="164">
        <v>8</v>
      </c>
      <c r="E273" s="164" t="s">
        <v>45</v>
      </c>
      <c r="F273" s="164" t="s">
        <v>20</v>
      </c>
      <c r="G273" s="164">
        <v>1</v>
      </c>
      <c r="H273" s="165">
        <f>9808.62*1.05</f>
        <v>10299.051000000001</v>
      </c>
      <c r="I273" s="166">
        <f t="shared" si="13"/>
        <v>123588.61200000002</v>
      </c>
      <c r="J273" s="164">
        <v>12</v>
      </c>
      <c r="K273" s="166">
        <f t="shared" si="14"/>
        <v>16929.946849315074</v>
      </c>
      <c r="L273" s="166"/>
      <c r="M273" s="166">
        <f t="shared" si="15"/>
        <v>140518.5588493151</v>
      </c>
    </row>
    <row r="274" spans="1:13" ht="15">
      <c r="A274" s="163" t="s">
        <v>53</v>
      </c>
      <c r="B274" s="163" t="s">
        <v>193</v>
      </c>
      <c r="C274" s="163"/>
      <c r="D274" s="164">
        <v>8</v>
      </c>
      <c r="E274" s="164" t="s">
        <v>45</v>
      </c>
      <c r="F274" s="164" t="s">
        <v>20</v>
      </c>
      <c r="G274" s="164">
        <v>1</v>
      </c>
      <c r="H274" s="165">
        <f>6834*1.05</f>
        <v>7175.700000000001</v>
      </c>
      <c r="I274" s="166">
        <f aca="true" t="shared" si="16" ref="I274:I296">+H274*J274</f>
        <v>86108.40000000001</v>
      </c>
      <c r="J274" s="164">
        <v>12</v>
      </c>
      <c r="K274" s="166">
        <f aca="true" t="shared" si="17" ref="K274:K296">+I274/365*50</f>
        <v>11795.671232876713</v>
      </c>
      <c r="L274" s="166"/>
      <c r="M274" s="166">
        <f aca="true" t="shared" si="18" ref="M274:M296">+I274+K274</f>
        <v>97904.07123287673</v>
      </c>
    </row>
    <row r="275" spans="1:13" ht="15">
      <c r="A275" s="163" t="s">
        <v>203</v>
      </c>
      <c r="B275" s="163" t="s">
        <v>131</v>
      </c>
      <c r="C275" s="163"/>
      <c r="D275" s="164">
        <v>8</v>
      </c>
      <c r="E275" s="164" t="s">
        <v>45</v>
      </c>
      <c r="F275" s="164" t="s">
        <v>20</v>
      </c>
      <c r="G275" s="164">
        <v>1</v>
      </c>
      <c r="H275" s="165">
        <f>9107.7*1.05</f>
        <v>9563.085000000001</v>
      </c>
      <c r="I275" s="166">
        <f t="shared" si="16"/>
        <v>114757.02000000002</v>
      </c>
      <c r="J275" s="164">
        <v>12</v>
      </c>
      <c r="K275" s="166">
        <f t="shared" si="17"/>
        <v>15720.1397260274</v>
      </c>
      <c r="L275" s="166"/>
      <c r="M275" s="166">
        <f t="shared" si="18"/>
        <v>130477.15972602741</v>
      </c>
    </row>
    <row r="276" spans="1:13" ht="15">
      <c r="A276" s="163" t="s">
        <v>203</v>
      </c>
      <c r="B276" s="163" t="s">
        <v>131</v>
      </c>
      <c r="C276" s="163"/>
      <c r="D276" s="164">
        <v>8</v>
      </c>
      <c r="E276" s="164" t="s">
        <v>45</v>
      </c>
      <c r="F276" s="164" t="s">
        <v>20</v>
      </c>
      <c r="G276" s="164">
        <v>1</v>
      </c>
      <c r="H276" s="165">
        <f>13452*1.05</f>
        <v>14124.6</v>
      </c>
      <c r="I276" s="166">
        <f t="shared" si="16"/>
        <v>169495.2</v>
      </c>
      <c r="J276" s="164">
        <v>12</v>
      </c>
      <c r="K276" s="166">
        <f t="shared" si="17"/>
        <v>23218.520547945205</v>
      </c>
      <c r="L276" s="166"/>
      <c r="M276" s="166">
        <f t="shared" si="18"/>
        <v>192713.7205479452</v>
      </c>
    </row>
    <row r="277" spans="1:13" ht="15">
      <c r="A277" s="163" t="s">
        <v>203</v>
      </c>
      <c r="B277" s="163" t="s">
        <v>131</v>
      </c>
      <c r="C277" s="163"/>
      <c r="D277" s="164">
        <v>8</v>
      </c>
      <c r="E277" s="164" t="s">
        <v>45</v>
      </c>
      <c r="F277" s="164" t="s">
        <v>20</v>
      </c>
      <c r="G277" s="164">
        <v>1</v>
      </c>
      <c r="H277" s="165">
        <f>9184.39*1.05</f>
        <v>9643.6095</v>
      </c>
      <c r="I277" s="166">
        <f t="shared" si="16"/>
        <v>115723.31400000001</v>
      </c>
      <c r="J277" s="164">
        <v>12</v>
      </c>
      <c r="K277" s="166">
        <f t="shared" si="17"/>
        <v>15852.508767123289</v>
      </c>
      <c r="L277" s="166"/>
      <c r="M277" s="166">
        <f t="shared" si="18"/>
        <v>131575.8227671233</v>
      </c>
    </row>
    <row r="278" spans="1:13" ht="15">
      <c r="A278" s="163" t="s">
        <v>273</v>
      </c>
      <c r="B278" s="163" t="s">
        <v>274</v>
      </c>
      <c r="C278" s="163"/>
      <c r="D278" s="164">
        <v>8</v>
      </c>
      <c r="E278" s="164" t="s">
        <v>45</v>
      </c>
      <c r="F278" s="164" t="s">
        <v>20</v>
      </c>
      <c r="G278" s="164">
        <v>1</v>
      </c>
      <c r="H278" s="165">
        <v>11554.88</v>
      </c>
      <c r="I278" s="166">
        <f>+H278*J278</f>
        <v>0</v>
      </c>
      <c r="J278" s="164">
        <v>0</v>
      </c>
      <c r="K278" s="166">
        <f>+I278/365*50</f>
        <v>0</v>
      </c>
      <c r="L278" s="166"/>
      <c r="M278" s="166">
        <f>+I278+K278</f>
        <v>0</v>
      </c>
    </row>
    <row r="279" spans="1:13" ht="15">
      <c r="A279" s="163" t="s">
        <v>273</v>
      </c>
      <c r="B279" s="163" t="s">
        <v>274</v>
      </c>
      <c r="C279" s="163"/>
      <c r="D279" s="164">
        <v>8</v>
      </c>
      <c r="E279" s="164" t="s">
        <v>45</v>
      </c>
      <c r="F279" s="164" t="s">
        <v>20</v>
      </c>
      <c r="G279" s="164">
        <v>1</v>
      </c>
      <c r="H279" s="165">
        <v>11554.88</v>
      </c>
      <c r="I279" s="166">
        <f t="shared" si="16"/>
        <v>127103.68</v>
      </c>
      <c r="J279" s="164">
        <v>11</v>
      </c>
      <c r="K279" s="166">
        <f t="shared" si="17"/>
        <v>17411.463013698627</v>
      </c>
      <c r="L279" s="166"/>
      <c r="M279" s="166">
        <f t="shared" si="18"/>
        <v>144515.14301369863</v>
      </c>
    </row>
    <row r="280" spans="1:13" ht="15">
      <c r="A280" s="163" t="s">
        <v>273</v>
      </c>
      <c r="B280" s="163" t="s">
        <v>274</v>
      </c>
      <c r="C280" s="163"/>
      <c r="D280" s="164">
        <v>8</v>
      </c>
      <c r="E280" s="164" t="s">
        <v>45</v>
      </c>
      <c r="F280" s="164" t="s">
        <v>20</v>
      </c>
      <c r="G280" s="164">
        <v>1</v>
      </c>
      <c r="H280" s="165">
        <f>8006*1.05</f>
        <v>8406.300000000001</v>
      </c>
      <c r="I280" s="166">
        <f>+H280*J280</f>
        <v>42031.50000000001</v>
      </c>
      <c r="J280" s="164">
        <v>5</v>
      </c>
      <c r="K280" s="166">
        <f>+I280/365*50</f>
        <v>5757.739726027398</v>
      </c>
      <c r="L280" s="166"/>
      <c r="M280" s="166">
        <f>+I280+K280</f>
        <v>47789.23972602741</v>
      </c>
    </row>
    <row r="281" spans="1:13" ht="15">
      <c r="A281" s="163" t="s">
        <v>245</v>
      </c>
      <c r="B281" s="163" t="s">
        <v>131</v>
      </c>
      <c r="C281" s="163"/>
      <c r="D281" s="164">
        <v>8</v>
      </c>
      <c r="E281" s="164" t="s">
        <v>45</v>
      </c>
      <c r="F281" s="164" t="s">
        <v>20</v>
      </c>
      <c r="G281" s="164">
        <v>1</v>
      </c>
      <c r="H281" s="165">
        <f>8006*1.05</f>
        <v>8406.300000000001</v>
      </c>
      <c r="I281" s="166">
        <f t="shared" si="16"/>
        <v>58844.100000000006</v>
      </c>
      <c r="J281" s="164">
        <v>7</v>
      </c>
      <c r="K281" s="166">
        <f t="shared" si="17"/>
        <v>8060.835616438357</v>
      </c>
      <c r="L281" s="166"/>
      <c r="M281" s="166">
        <f t="shared" si="18"/>
        <v>66904.93561643836</v>
      </c>
    </row>
    <row r="282" spans="1:13" ht="15">
      <c r="A282" s="163" t="s">
        <v>74</v>
      </c>
      <c r="B282" s="163" t="s">
        <v>153</v>
      </c>
      <c r="C282" s="163"/>
      <c r="D282" s="164">
        <v>8</v>
      </c>
      <c r="E282" s="164" t="s">
        <v>45</v>
      </c>
      <c r="F282" s="164" t="s">
        <v>20</v>
      </c>
      <c r="G282" s="164">
        <v>1</v>
      </c>
      <c r="H282" s="165">
        <v>6223.2</v>
      </c>
      <c r="I282" s="166">
        <f t="shared" si="16"/>
        <v>74678.4</v>
      </c>
      <c r="J282" s="164">
        <v>12</v>
      </c>
      <c r="K282" s="166">
        <f t="shared" si="17"/>
        <v>10229.917808219177</v>
      </c>
      <c r="L282" s="166"/>
      <c r="M282" s="166">
        <f t="shared" si="18"/>
        <v>84908.31780821917</v>
      </c>
    </row>
    <row r="283" spans="1:13" ht="15">
      <c r="A283" s="163" t="s">
        <v>74</v>
      </c>
      <c r="B283" s="163" t="s">
        <v>153</v>
      </c>
      <c r="C283" s="163"/>
      <c r="D283" s="164">
        <v>8</v>
      </c>
      <c r="E283" s="164" t="s">
        <v>45</v>
      </c>
      <c r="F283" s="164" t="s">
        <v>20</v>
      </c>
      <c r="G283" s="164">
        <v>1</v>
      </c>
      <c r="H283" s="165">
        <v>6223.2</v>
      </c>
      <c r="I283" s="166">
        <f t="shared" si="16"/>
        <v>74678.4</v>
      </c>
      <c r="J283" s="164">
        <v>12</v>
      </c>
      <c r="K283" s="166">
        <f t="shared" si="17"/>
        <v>10229.917808219177</v>
      </c>
      <c r="L283" s="166"/>
      <c r="M283" s="166">
        <f t="shared" si="18"/>
        <v>84908.31780821917</v>
      </c>
    </row>
    <row r="284" spans="1:13" ht="15">
      <c r="A284" s="163" t="s">
        <v>188</v>
      </c>
      <c r="B284" s="163" t="s">
        <v>153</v>
      </c>
      <c r="C284" s="163"/>
      <c r="D284" s="164">
        <v>8</v>
      </c>
      <c r="E284" s="164" t="s">
        <v>45</v>
      </c>
      <c r="F284" s="164" t="s">
        <v>20</v>
      </c>
      <c r="G284" s="164">
        <v>1</v>
      </c>
      <c r="H284" s="165">
        <f>6405.25*1.05</f>
        <v>6725.512500000001</v>
      </c>
      <c r="I284" s="166">
        <f t="shared" si="16"/>
        <v>80706.15000000001</v>
      </c>
      <c r="J284" s="164">
        <v>12</v>
      </c>
      <c r="K284" s="166">
        <f t="shared" si="17"/>
        <v>11055.636986301372</v>
      </c>
      <c r="L284" s="166"/>
      <c r="M284" s="166">
        <f t="shared" si="18"/>
        <v>91761.78698630138</v>
      </c>
    </row>
    <row r="285" spans="1:13" ht="15">
      <c r="A285" s="163" t="s">
        <v>188</v>
      </c>
      <c r="B285" s="163" t="s">
        <v>153</v>
      </c>
      <c r="C285" s="163"/>
      <c r="D285" s="164">
        <v>8</v>
      </c>
      <c r="E285" s="164" t="s">
        <v>45</v>
      </c>
      <c r="F285" s="164" t="s">
        <v>20</v>
      </c>
      <c r="G285" s="164">
        <v>1</v>
      </c>
      <c r="H285" s="165">
        <v>6223.2</v>
      </c>
      <c r="I285" s="166">
        <f t="shared" si="16"/>
        <v>74678.4</v>
      </c>
      <c r="J285" s="164">
        <v>12</v>
      </c>
      <c r="K285" s="166">
        <f t="shared" si="17"/>
        <v>10229.917808219177</v>
      </c>
      <c r="L285" s="166"/>
      <c r="M285" s="166">
        <f t="shared" si="18"/>
        <v>84908.31780821917</v>
      </c>
    </row>
    <row r="286" spans="1:13" ht="15">
      <c r="A286" s="163" t="s">
        <v>112</v>
      </c>
      <c r="B286" s="163" t="s">
        <v>158</v>
      </c>
      <c r="C286" s="163"/>
      <c r="D286" s="164">
        <v>8</v>
      </c>
      <c r="E286" s="164" t="s">
        <v>45</v>
      </c>
      <c r="F286" s="164" t="s">
        <v>20</v>
      </c>
      <c r="G286" s="164">
        <v>1</v>
      </c>
      <c r="H286" s="165">
        <v>7825.58</v>
      </c>
      <c r="I286" s="166">
        <f t="shared" si="16"/>
        <v>93906.95999999999</v>
      </c>
      <c r="J286" s="164">
        <v>12</v>
      </c>
      <c r="K286" s="166">
        <f t="shared" si="17"/>
        <v>12863.967123287672</v>
      </c>
      <c r="L286" s="166"/>
      <c r="M286" s="166">
        <f t="shared" si="18"/>
        <v>106770.92712328766</v>
      </c>
    </row>
    <row r="287" spans="1:13" ht="15">
      <c r="A287" s="163" t="s">
        <v>112</v>
      </c>
      <c r="B287" s="163" t="s">
        <v>158</v>
      </c>
      <c r="C287" s="163"/>
      <c r="D287" s="164">
        <v>8</v>
      </c>
      <c r="E287" s="164" t="s">
        <v>45</v>
      </c>
      <c r="F287" s="164" t="s">
        <v>20</v>
      </c>
      <c r="G287" s="164">
        <v>1</v>
      </c>
      <c r="H287" s="165">
        <f>8011*1.05</f>
        <v>8411.550000000001</v>
      </c>
      <c r="I287" s="166">
        <f t="shared" si="16"/>
        <v>100938.6</v>
      </c>
      <c r="J287" s="164">
        <v>12</v>
      </c>
      <c r="K287" s="166">
        <f t="shared" si="17"/>
        <v>13827.205479452055</v>
      </c>
      <c r="L287" s="166"/>
      <c r="M287" s="166">
        <f t="shared" si="18"/>
        <v>114765.80547945206</v>
      </c>
    </row>
    <row r="288" spans="1:13" ht="15">
      <c r="A288" s="163" t="s">
        <v>137</v>
      </c>
      <c r="B288" s="163" t="s">
        <v>158</v>
      </c>
      <c r="C288" s="163"/>
      <c r="D288" s="164">
        <v>8</v>
      </c>
      <c r="E288" s="164" t="s">
        <v>45</v>
      </c>
      <c r="F288" s="164" t="s">
        <v>20</v>
      </c>
      <c r="G288" s="164">
        <v>1</v>
      </c>
      <c r="H288" s="165">
        <f aca="true" t="shared" si="19" ref="H288:H294">6528.05*1.05</f>
        <v>6854.4525</v>
      </c>
      <c r="I288" s="166">
        <f t="shared" si="16"/>
        <v>82253.43000000001</v>
      </c>
      <c r="J288" s="164">
        <v>12</v>
      </c>
      <c r="K288" s="166">
        <f t="shared" si="17"/>
        <v>11267.593150684932</v>
      </c>
      <c r="L288" s="166"/>
      <c r="M288" s="166">
        <f t="shared" si="18"/>
        <v>93521.02315068494</v>
      </c>
    </row>
    <row r="289" spans="1:13" ht="15">
      <c r="A289" s="163" t="s">
        <v>137</v>
      </c>
      <c r="B289" s="163" t="s">
        <v>158</v>
      </c>
      <c r="C289" s="163"/>
      <c r="D289" s="164">
        <v>8</v>
      </c>
      <c r="E289" s="164" t="s">
        <v>45</v>
      </c>
      <c r="F289" s="164" t="s">
        <v>20</v>
      </c>
      <c r="G289" s="164">
        <v>1</v>
      </c>
      <c r="H289" s="165">
        <f t="shared" si="19"/>
        <v>6854.4525</v>
      </c>
      <c r="I289" s="166">
        <f t="shared" si="16"/>
        <v>82253.43000000001</v>
      </c>
      <c r="J289" s="164">
        <v>12</v>
      </c>
      <c r="K289" s="166">
        <f t="shared" si="17"/>
        <v>11267.593150684932</v>
      </c>
      <c r="L289" s="166"/>
      <c r="M289" s="166">
        <f t="shared" si="18"/>
        <v>93521.02315068494</v>
      </c>
    </row>
    <row r="290" spans="1:13" ht="15">
      <c r="A290" s="163" t="s">
        <v>137</v>
      </c>
      <c r="B290" s="163" t="s">
        <v>158</v>
      </c>
      <c r="C290" s="163"/>
      <c r="D290" s="164">
        <v>8</v>
      </c>
      <c r="E290" s="164" t="s">
        <v>45</v>
      </c>
      <c r="F290" s="164" t="s">
        <v>20</v>
      </c>
      <c r="G290" s="164">
        <v>1</v>
      </c>
      <c r="H290" s="165">
        <f t="shared" si="19"/>
        <v>6854.4525</v>
      </c>
      <c r="I290" s="166">
        <f t="shared" si="16"/>
        <v>82253.43000000001</v>
      </c>
      <c r="J290" s="164">
        <v>12</v>
      </c>
      <c r="K290" s="166">
        <f t="shared" si="17"/>
        <v>11267.593150684932</v>
      </c>
      <c r="L290" s="166"/>
      <c r="M290" s="166">
        <f t="shared" si="18"/>
        <v>93521.02315068494</v>
      </c>
    </row>
    <row r="291" spans="1:13" ht="15">
      <c r="A291" s="163" t="s">
        <v>137</v>
      </c>
      <c r="B291" s="163" t="s">
        <v>158</v>
      </c>
      <c r="C291" s="163"/>
      <c r="D291" s="164">
        <v>8</v>
      </c>
      <c r="E291" s="164" t="s">
        <v>45</v>
      </c>
      <c r="F291" s="164" t="s">
        <v>20</v>
      </c>
      <c r="G291" s="164">
        <v>1</v>
      </c>
      <c r="H291" s="165">
        <f t="shared" si="19"/>
        <v>6854.4525</v>
      </c>
      <c r="I291" s="166">
        <f t="shared" si="16"/>
        <v>82253.43000000001</v>
      </c>
      <c r="J291" s="164">
        <v>12</v>
      </c>
      <c r="K291" s="166">
        <f t="shared" si="17"/>
        <v>11267.593150684932</v>
      </c>
      <c r="L291" s="166"/>
      <c r="M291" s="166">
        <f t="shared" si="18"/>
        <v>93521.02315068494</v>
      </c>
    </row>
    <row r="292" spans="1:13" ht="15">
      <c r="A292" s="163" t="s">
        <v>137</v>
      </c>
      <c r="B292" s="163" t="s">
        <v>158</v>
      </c>
      <c r="C292" s="163"/>
      <c r="D292" s="164">
        <v>8</v>
      </c>
      <c r="E292" s="164" t="s">
        <v>45</v>
      </c>
      <c r="F292" s="164" t="s">
        <v>20</v>
      </c>
      <c r="G292" s="164">
        <v>1</v>
      </c>
      <c r="H292" s="165">
        <f t="shared" si="19"/>
        <v>6854.4525</v>
      </c>
      <c r="I292" s="166">
        <f t="shared" si="16"/>
        <v>82253.43000000001</v>
      </c>
      <c r="J292" s="164">
        <v>12</v>
      </c>
      <c r="K292" s="166">
        <f t="shared" si="17"/>
        <v>11267.593150684932</v>
      </c>
      <c r="L292" s="166"/>
      <c r="M292" s="166">
        <f t="shared" si="18"/>
        <v>93521.02315068494</v>
      </c>
    </row>
    <row r="293" spans="1:13" ht="15">
      <c r="A293" s="163" t="s">
        <v>137</v>
      </c>
      <c r="B293" s="163" t="s">
        <v>158</v>
      </c>
      <c r="C293" s="163"/>
      <c r="D293" s="164">
        <v>8</v>
      </c>
      <c r="E293" s="164" t="s">
        <v>45</v>
      </c>
      <c r="F293" s="164" t="s">
        <v>20</v>
      </c>
      <c r="G293" s="164">
        <v>1</v>
      </c>
      <c r="H293" s="165">
        <f t="shared" si="19"/>
        <v>6854.4525</v>
      </c>
      <c r="I293" s="166">
        <f t="shared" si="16"/>
        <v>82253.43000000001</v>
      </c>
      <c r="J293" s="164">
        <v>12</v>
      </c>
      <c r="K293" s="166">
        <f t="shared" si="17"/>
        <v>11267.593150684932</v>
      </c>
      <c r="L293" s="166"/>
      <c r="M293" s="166">
        <f t="shared" si="18"/>
        <v>93521.02315068494</v>
      </c>
    </row>
    <row r="294" spans="1:13" ht="15">
      <c r="A294" s="163" t="s">
        <v>137</v>
      </c>
      <c r="B294" s="163" t="s">
        <v>158</v>
      </c>
      <c r="C294" s="163"/>
      <c r="D294" s="164">
        <v>8</v>
      </c>
      <c r="E294" s="164" t="s">
        <v>45</v>
      </c>
      <c r="F294" s="164" t="s">
        <v>20</v>
      </c>
      <c r="G294" s="164">
        <v>1</v>
      </c>
      <c r="H294" s="165">
        <f t="shared" si="19"/>
        <v>6854.4525</v>
      </c>
      <c r="I294" s="166">
        <f t="shared" si="16"/>
        <v>82253.43000000001</v>
      </c>
      <c r="J294" s="164">
        <v>12</v>
      </c>
      <c r="K294" s="166">
        <f t="shared" si="17"/>
        <v>11267.593150684932</v>
      </c>
      <c r="L294" s="166"/>
      <c r="M294" s="166">
        <f t="shared" si="18"/>
        <v>93521.02315068494</v>
      </c>
    </row>
    <row r="295" spans="1:13" ht="15">
      <c r="A295" s="163" t="s">
        <v>269</v>
      </c>
      <c r="B295" s="163" t="s">
        <v>158</v>
      </c>
      <c r="C295" s="163"/>
      <c r="D295" s="164">
        <v>8</v>
      </c>
      <c r="E295" s="164" t="s">
        <v>45</v>
      </c>
      <c r="F295" s="164" t="s">
        <v>20</v>
      </c>
      <c r="G295" s="164">
        <v>1</v>
      </c>
      <c r="H295" s="165">
        <f>7421.99*1.05</f>
        <v>7793.0895</v>
      </c>
      <c r="I295" s="166">
        <f t="shared" si="16"/>
        <v>93517.074</v>
      </c>
      <c r="J295" s="164">
        <v>12</v>
      </c>
      <c r="K295" s="166">
        <f t="shared" si="17"/>
        <v>12810.558082191781</v>
      </c>
      <c r="L295" s="166"/>
      <c r="M295" s="166">
        <f t="shared" si="18"/>
        <v>106327.63208219178</v>
      </c>
    </row>
    <row r="296" spans="1:13" ht="15">
      <c r="A296" s="163" t="s">
        <v>137</v>
      </c>
      <c r="B296" s="163" t="s">
        <v>158</v>
      </c>
      <c r="C296" s="187"/>
      <c r="D296" s="164">
        <v>8</v>
      </c>
      <c r="E296" s="164" t="s">
        <v>45</v>
      </c>
      <c r="F296" s="164" t="s">
        <v>20</v>
      </c>
      <c r="G296" s="164">
        <v>1</v>
      </c>
      <c r="H296" s="165">
        <f>6528.05*1.05</f>
        <v>6854.4525</v>
      </c>
      <c r="I296" s="166">
        <f t="shared" si="16"/>
        <v>82253.43000000001</v>
      </c>
      <c r="J296" s="164">
        <v>12</v>
      </c>
      <c r="K296" s="166">
        <f t="shared" si="17"/>
        <v>11267.593150684932</v>
      </c>
      <c r="L296" s="166"/>
      <c r="M296" s="166">
        <f t="shared" si="18"/>
        <v>93521.02315068494</v>
      </c>
    </row>
    <row r="297" spans="1:13" ht="15.75" thickBot="1">
      <c r="A297" s="12"/>
      <c r="B297" s="13"/>
      <c r="C297" s="15"/>
      <c r="D297" s="143"/>
      <c r="E297" s="143" t="s">
        <v>43</v>
      </c>
      <c r="F297" s="143"/>
      <c r="G297" s="143">
        <f>SUM(G123:G296)</f>
        <v>173</v>
      </c>
      <c r="H297" s="144">
        <f>SUM(H123:H296)</f>
        <v>1343613.4134999989</v>
      </c>
      <c r="I297" s="144">
        <f>SUM(I123:I296)</f>
        <v>13171797.497</v>
      </c>
      <c r="J297" s="144"/>
      <c r="K297" s="144">
        <f>SUM(K123:K296)</f>
        <v>1804355.821506848</v>
      </c>
      <c r="L297" s="144">
        <f>SUM(L123:L296)</f>
        <v>0</v>
      </c>
      <c r="M297" s="144">
        <f>SUM(M123:M296)</f>
        <v>14976153.31850684</v>
      </c>
    </row>
    <row r="298" spans="1:13" ht="15.75" thickBot="1">
      <c r="A298" s="14"/>
      <c r="B298" s="15"/>
      <c r="C298" s="105"/>
      <c r="D298" s="8" t="s">
        <v>47</v>
      </c>
      <c r="E298" s="8"/>
      <c r="F298" s="8"/>
      <c r="G298" s="8">
        <f>G297+G121</f>
        <v>286</v>
      </c>
      <c r="H298" s="10">
        <f>H297+H121</f>
        <v>2568656.9124999996</v>
      </c>
      <c r="I298" s="10">
        <f>I297+I121</f>
        <v>27686562.844999995</v>
      </c>
      <c r="J298" s="10"/>
      <c r="K298" s="10">
        <f>K297+K121</f>
        <v>3792679.841780821</v>
      </c>
      <c r="L298" s="10">
        <f>L297+L121</f>
        <v>0</v>
      </c>
      <c r="M298" s="10">
        <f>M297+M121</f>
        <v>31479242.68678082</v>
      </c>
    </row>
    <row r="299" spans="1:13" ht="15">
      <c r="A299" s="105"/>
      <c r="B299" s="105"/>
      <c r="C299" s="105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</row>
  </sheetData>
  <sheetProtection/>
  <mergeCells count="3">
    <mergeCell ref="A1:M1"/>
    <mergeCell ref="A2:M2"/>
    <mergeCell ref="A5:M5"/>
  </mergeCells>
  <printOptions/>
  <pageMargins left="0.7" right="0.7" top="0.75" bottom="0.75" header="0.3" footer="0.3"/>
  <pageSetup fitToHeight="0" fitToWidth="1" horizontalDpi="600" verticalDpi="600" orientation="landscape" paperSize="190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zoomScale="78" zoomScaleNormal="78" zoomScalePageLayoutView="0" workbookViewId="0" topLeftCell="A1">
      <selection activeCell="C190" sqref="C190:C195"/>
    </sheetView>
  </sheetViews>
  <sheetFormatPr defaultColWidth="11.421875" defaultRowHeight="15"/>
  <cols>
    <col min="1" max="1" width="44.57421875" style="0" customWidth="1"/>
    <col min="3" max="3" width="36.7109375" style="0" customWidth="1"/>
    <col min="7" max="7" width="19.00390625" style="0" customWidth="1"/>
    <col min="8" max="8" width="14.8515625" style="0" customWidth="1"/>
    <col min="9" max="9" width="18.28125" style="0" customWidth="1"/>
    <col min="11" max="11" width="18.00390625" style="0" customWidth="1"/>
    <col min="13" max="13" width="19.28125" style="0" customWidth="1"/>
  </cols>
  <sheetData>
    <row r="1" spans="1:13" ht="18">
      <c r="A1" s="191" t="s">
        <v>248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8.75" thickBot="1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ht="15.75" thickBot="1">
      <c r="A3" s="2"/>
      <c r="B3" s="2"/>
      <c r="C3" s="2"/>
      <c r="D3" s="3"/>
      <c r="E3" s="3"/>
      <c r="F3" s="3"/>
      <c r="G3" s="3"/>
      <c r="H3" s="2"/>
      <c r="I3" s="2"/>
      <c r="J3" s="2"/>
      <c r="K3" s="2"/>
      <c r="L3" s="3"/>
      <c r="M3" s="2"/>
    </row>
    <row r="4" spans="1:13" ht="39" thickBot="1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14</v>
      </c>
      <c r="M4" s="64" t="s">
        <v>15</v>
      </c>
    </row>
    <row r="5" spans="1:13" ht="31.5" thickBot="1">
      <c r="A5" s="197" t="s">
        <v>161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1:13" s="1" customFormat="1" ht="46.5" thickBot="1">
      <c r="A6" s="79" t="s">
        <v>38</v>
      </c>
      <c r="B6" s="97" t="s">
        <v>162</v>
      </c>
      <c r="C6" s="73"/>
      <c r="D6" s="80">
        <v>40</v>
      </c>
      <c r="E6" s="80" t="s">
        <v>19</v>
      </c>
      <c r="F6" s="80" t="s">
        <v>20</v>
      </c>
      <c r="G6" s="80">
        <v>1</v>
      </c>
      <c r="H6" s="98">
        <f>45000*1.05</f>
        <v>47250</v>
      </c>
      <c r="I6" s="74">
        <f aca="true" t="shared" si="0" ref="I6:I17">+H6*J6</f>
        <v>567000</v>
      </c>
      <c r="J6" s="73">
        <v>12</v>
      </c>
      <c r="K6" s="74">
        <f aca="true" t="shared" si="1" ref="K6:K65">+I6/365*50</f>
        <v>77671.23287671233</v>
      </c>
      <c r="L6" s="92"/>
      <c r="M6" s="85">
        <f aca="true" t="shared" si="2" ref="M6:M23">+I6+K6</f>
        <v>644671.2328767123</v>
      </c>
    </row>
    <row r="7" spans="1:13" s="1" customFormat="1" ht="46.5" thickBot="1">
      <c r="A7" s="79" t="s">
        <v>230</v>
      </c>
      <c r="B7" s="97" t="s">
        <v>162</v>
      </c>
      <c r="C7" s="73"/>
      <c r="D7" s="80">
        <v>40</v>
      </c>
      <c r="E7" s="80" t="s">
        <v>19</v>
      </c>
      <c r="F7" s="80" t="s">
        <v>20</v>
      </c>
      <c r="G7" s="80">
        <v>1</v>
      </c>
      <c r="H7" s="98">
        <f>23904.79*1.05</f>
        <v>25100.0295</v>
      </c>
      <c r="I7" s="74">
        <f t="shared" si="0"/>
        <v>301200.354</v>
      </c>
      <c r="J7" s="73">
        <v>12</v>
      </c>
      <c r="K7" s="74">
        <f t="shared" si="1"/>
        <v>41260.32246575342</v>
      </c>
      <c r="L7" s="92"/>
      <c r="M7" s="85">
        <f t="shared" si="2"/>
        <v>342460.6764657534</v>
      </c>
    </row>
    <row r="8" spans="1:13" s="1" customFormat="1" ht="46.5" thickBot="1">
      <c r="A8" s="79" t="s">
        <v>242</v>
      </c>
      <c r="B8" s="97" t="s">
        <v>162</v>
      </c>
      <c r="C8" s="73"/>
      <c r="D8" s="80">
        <v>40</v>
      </c>
      <c r="E8" s="80" t="s">
        <v>19</v>
      </c>
      <c r="F8" s="80" t="s">
        <v>20</v>
      </c>
      <c r="G8" s="80">
        <v>1</v>
      </c>
      <c r="H8" s="98">
        <f>30450*1.05</f>
        <v>31972.5</v>
      </c>
      <c r="I8" s="74">
        <f t="shared" si="0"/>
        <v>383670</v>
      </c>
      <c r="J8" s="73">
        <v>12</v>
      </c>
      <c r="K8" s="74">
        <f t="shared" si="1"/>
        <v>52557.53424657535</v>
      </c>
      <c r="L8" s="92"/>
      <c r="M8" s="85">
        <f t="shared" si="2"/>
        <v>436227.5342465753</v>
      </c>
    </row>
    <row r="9" spans="1:13" s="1" customFormat="1" ht="46.5" thickBot="1">
      <c r="A9" s="79" t="s">
        <v>243</v>
      </c>
      <c r="B9" s="97" t="s">
        <v>162</v>
      </c>
      <c r="C9" s="73"/>
      <c r="D9" s="80">
        <v>40</v>
      </c>
      <c r="E9" s="80" t="s">
        <v>19</v>
      </c>
      <c r="F9" s="80" t="s">
        <v>20</v>
      </c>
      <c r="G9" s="80">
        <v>1</v>
      </c>
      <c r="H9" s="98">
        <f>21080.78*1.05</f>
        <v>22134.819</v>
      </c>
      <c r="I9" s="74">
        <f t="shared" si="0"/>
        <v>265617.828</v>
      </c>
      <c r="J9" s="73">
        <v>12</v>
      </c>
      <c r="K9" s="74">
        <f t="shared" si="1"/>
        <v>36386.00383561644</v>
      </c>
      <c r="L9" s="92"/>
      <c r="M9" s="85">
        <f t="shared" si="2"/>
        <v>302003.83183561644</v>
      </c>
    </row>
    <row r="10" spans="1:13" s="1" customFormat="1" ht="46.5" thickBot="1">
      <c r="A10" s="79" t="s">
        <v>181</v>
      </c>
      <c r="B10" s="97" t="s">
        <v>162</v>
      </c>
      <c r="C10" s="73"/>
      <c r="D10" s="80">
        <v>40</v>
      </c>
      <c r="E10" s="80" t="s">
        <v>19</v>
      </c>
      <c r="F10" s="80" t="s">
        <v>20</v>
      </c>
      <c r="G10" s="80">
        <v>1</v>
      </c>
      <c r="H10" s="98">
        <v>27475.6</v>
      </c>
      <c r="I10" s="74">
        <f t="shared" si="0"/>
        <v>329707.19999999995</v>
      </c>
      <c r="J10" s="73">
        <v>12</v>
      </c>
      <c r="K10" s="74">
        <f t="shared" si="1"/>
        <v>45165.36986301369</v>
      </c>
      <c r="L10" s="92"/>
      <c r="M10" s="85">
        <f t="shared" si="2"/>
        <v>374872.56986301363</v>
      </c>
    </row>
    <row r="11" spans="1:13" s="1" customFormat="1" ht="46.5" thickBot="1">
      <c r="A11" s="79" t="s">
        <v>231</v>
      </c>
      <c r="B11" s="97" t="s">
        <v>162</v>
      </c>
      <c r="C11" s="18"/>
      <c r="D11" s="80">
        <v>40</v>
      </c>
      <c r="E11" s="80" t="s">
        <v>19</v>
      </c>
      <c r="F11" s="80" t="s">
        <v>20</v>
      </c>
      <c r="G11" s="80">
        <v>1</v>
      </c>
      <c r="H11" s="98">
        <f>21080.78*1.05</f>
        <v>22134.819</v>
      </c>
      <c r="I11" s="74">
        <f t="shared" si="0"/>
        <v>265617.828</v>
      </c>
      <c r="J11" s="73">
        <v>12</v>
      </c>
      <c r="K11" s="74">
        <f t="shared" si="1"/>
        <v>36386.00383561644</v>
      </c>
      <c r="L11" s="92"/>
      <c r="M11" s="85">
        <f t="shared" si="2"/>
        <v>302003.83183561644</v>
      </c>
    </row>
    <row r="12" spans="1:13" s="1" customFormat="1" ht="46.5" thickBot="1">
      <c r="A12" s="79" t="s">
        <v>238</v>
      </c>
      <c r="B12" s="97" t="s">
        <v>162</v>
      </c>
      <c r="C12" s="73"/>
      <c r="D12" s="80">
        <v>40</v>
      </c>
      <c r="E12" s="80" t="s">
        <v>19</v>
      </c>
      <c r="F12" s="80" t="s">
        <v>20</v>
      </c>
      <c r="G12" s="80">
        <v>1</v>
      </c>
      <c r="H12" s="98">
        <v>27475.6</v>
      </c>
      <c r="I12" s="74">
        <f t="shared" si="0"/>
        <v>329707.19999999995</v>
      </c>
      <c r="J12" s="73">
        <v>12</v>
      </c>
      <c r="K12" s="74">
        <f t="shared" si="1"/>
        <v>45165.36986301369</v>
      </c>
      <c r="L12" s="92"/>
      <c r="M12" s="85">
        <f t="shared" si="2"/>
        <v>374872.56986301363</v>
      </c>
    </row>
    <row r="13" spans="1:14" s="1" customFormat="1" ht="46.5" thickBot="1">
      <c r="A13" s="79" t="s">
        <v>239</v>
      </c>
      <c r="B13" s="97" t="s">
        <v>162</v>
      </c>
      <c r="C13" s="73"/>
      <c r="D13" s="80">
        <v>40</v>
      </c>
      <c r="E13" s="80" t="s">
        <v>19</v>
      </c>
      <c r="F13" s="80" t="s">
        <v>20</v>
      </c>
      <c r="G13" s="80">
        <v>1</v>
      </c>
      <c r="H13" s="98">
        <v>19249.06</v>
      </c>
      <c r="I13" s="74">
        <f t="shared" si="0"/>
        <v>230988.72000000003</v>
      </c>
      <c r="J13" s="73">
        <v>12</v>
      </c>
      <c r="K13" s="74">
        <f t="shared" si="1"/>
        <v>31642.290410958907</v>
      </c>
      <c r="L13" s="92"/>
      <c r="M13" s="85">
        <f t="shared" si="2"/>
        <v>262631.01041095896</v>
      </c>
      <c r="N13" s="141"/>
    </row>
    <row r="14" spans="1:14" s="1" customFormat="1" ht="15.75" thickBot="1">
      <c r="A14" s="17" t="s">
        <v>104</v>
      </c>
      <c r="B14" s="18" t="s">
        <v>162</v>
      </c>
      <c r="C14" s="18"/>
      <c r="D14" s="19">
        <v>40</v>
      </c>
      <c r="E14" s="19" t="s">
        <v>27</v>
      </c>
      <c r="F14" s="19" t="s">
        <v>20</v>
      </c>
      <c r="G14" s="80">
        <v>1</v>
      </c>
      <c r="H14" s="99">
        <v>20237.72</v>
      </c>
      <c r="I14" s="74">
        <f t="shared" si="0"/>
        <v>242852.64</v>
      </c>
      <c r="J14" s="18">
        <v>12</v>
      </c>
      <c r="K14" s="74">
        <f t="shared" si="1"/>
        <v>33267.48493150685</v>
      </c>
      <c r="L14" s="75"/>
      <c r="M14" s="85">
        <f t="shared" si="2"/>
        <v>276120.12493150687</v>
      </c>
      <c r="N14" s="141"/>
    </row>
    <row r="15" spans="1:13" s="1" customFormat="1" ht="15.75" thickBot="1">
      <c r="A15" s="17" t="s">
        <v>208</v>
      </c>
      <c r="B15" s="18" t="s">
        <v>168</v>
      </c>
      <c r="C15" s="18"/>
      <c r="D15" s="19">
        <v>40</v>
      </c>
      <c r="E15" s="19" t="s">
        <v>27</v>
      </c>
      <c r="F15" s="19" t="s">
        <v>20</v>
      </c>
      <c r="G15" s="80">
        <v>1</v>
      </c>
      <c r="H15" s="99">
        <f>17998.41*1.05</f>
        <v>18898.3305</v>
      </c>
      <c r="I15" s="74">
        <f t="shared" si="0"/>
        <v>226779.96600000001</v>
      </c>
      <c r="J15" s="18">
        <v>12</v>
      </c>
      <c r="K15" s="74">
        <f t="shared" si="1"/>
        <v>31065.74876712329</v>
      </c>
      <c r="L15" s="75"/>
      <c r="M15" s="85">
        <f t="shared" si="2"/>
        <v>257845.7147671233</v>
      </c>
    </row>
    <row r="16" spans="1:14" s="1" customFormat="1" ht="15.75" thickBot="1">
      <c r="A16" s="17" t="s">
        <v>29</v>
      </c>
      <c r="B16" s="18" t="s">
        <v>168</v>
      </c>
      <c r="C16" s="18"/>
      <c r="D16" s="19">
        <v>40</v>
      </c>
      <c r="E16" s="19" t="s">
        <v>27</v>
      </c>
      <c r="F16" s="19" t="s">
        <v>20</v>
      </c>
      <c r="G16" s="80">
        <v>1</v>
      </c>
      <c r="H16" s="99">
        <f>8824*1.05</f>
        <v>9265.2</v>
      </c>
      <c r="I16" s="74">
        <f t="shared" si="0"/>
        <v>111182.40000000001</v>
      </c>
      <c r="J16" s="18">
        <v>12</v>
      </c>
      <c r="K16" s="74">
        <f t="shared" si="1"/>
        <v>15230.465753424658</v>
      </c>
      <c r="L16" s="75"/>
      <c r="M16" s="85">
        <f t="shared" si="2"/>
        <v>126412.86575342467</v>
      </c>
      <c r="N16" s="141"/>
    </row>
    <row r="17" spans="1:13" s="1" customFormat="1" ht="15.75" thickBot="1">
      <c r="A17" s="17" t="s">
        <v>29</v>
      </c>
      <c r="B17" s="18" t="s">
        <v>163</v>
      </c>
      <c r="C17" s="18"/>
      <c r="D17" s="19">
        <v>40</v>
      </c>
      <c r="E17" s="19" t="s">
        <v>27</v>
      </c>
      <c r="F17" s="19" t="s">
        <v>20</v>
      </c>
      <c r="G17" s="80">
        <v>1</v>
      </c>
      <c r="H17" s="99">
        <v>12089.52</v>
      </c>
      <c r="I17" s="74">
        <f t="shared" si="0"/>
        <v>145074.24</v>
      </c>
      <c r="J17" s="18">
        <v>12</v>
      </c>
      <c r="K17" s="74">
        <f t="shared" si="1"/>
        <v>19873.183561643833</v>
      </c>
      <c r="L17" s="75"/>
      <c r="M17" s="85">
        <f t="shared" si="2"/>
        <v>164947.4235616438</v>
      </c>
    </row>
    <row r="18" spans="1:14" s="1" customFormat="1" ht="15.75" thickBot="1">
      <c r="A18" s="17" t="s">
        <v>222</v>
      </c>
      <c r="B18" s="18" t="s">
        <v>223</v>
      </c>
      <c r="C18" s="18"/>
      <c r="D18" s="19">
        <v>40</v>
      </c>
      <c r="E18" s="19" t="s">
        <v>19</v>
      </c>
      <c r="F18" s="19" t="s">
        <v>20</v>
      </c>
      <c r="G18" s="80">
        <v>1</v>
      </c>
      <c r="H18" s="99">
        <v>21994.88</v>
      </c>
      <c r="I18" s="74">
        <f>+H18*J18</f>
        <v>219948.80000000002</v>
      </c>
      <c r="J18" s="18">
        <v>10</v>
      </c>
      <c r="K18" s="74">
        <f>+I18/365*50</f>
        <v>30129.97260273973</v>
      </c>
      <c r="L18" s="75"/>
      <c r="M18" s="85">
        <f>+I18+K18</f>
        <v>250078.77260273974</v>
      </c>
      <c r="N18" s="141"/>
    </row>
    <row r="19" spans="1:13" ht="15.75" thickBot="1">
      <c r="A19" s="18" t="s">
        <v>279</v>
      </c>
      <c r="B19" s="18" t="s">
        <v>167</v>
      </c>
      <c r="C19" s="18"/>
      <c r="D19" s="19">
        <v>40</v>
      </c>
      <c r="E19" s="19" t="s">
        <v>19</v>
      </c>
      <c r="F19" s="19" t="s">
        <v>20</v>
      </c>
      <c r="G19" s="19">
        <v>1</v>
      </c>
      <c r="H19" s="99">
        <v>16894.76</v>
      </c>
      <c r="I19" s="74">
        <f aca="true" t="shared" si="3" ref="I19:I24">+H19*J19</f>
        <v>101368.56</v>
      </c>
      <c r="J19" s="18">
        <v>6</v>
      </c>
      <c r="K19" s="21">
        <f>+I19/365*50</f>
        <v>13886.104109589041</v>
      </c>
      <c r="L19" s="75"/>
      <c r="M19" s="21">
        <f>+I19+K19</f>
        <v>115254.66410958904</v>
      </c>
    </row>
    <row r="20" spans="1:13" s="1" customFormat="1" ht="15.75" thickBot="1">
      <c r="A20" s="17" t="s">
        <v>278</v>
      </c>
      <c r="B20" s="18" t="s">
        <v>167</v>
      </c>
      <c r="C20" s="18"/>
      <c r="D20" s="19">
        <v>40</v>
      </c>
      <c r="E20" s="19" t="s">
        <v>19</v>
      </c>
      <c r="F20" s="19" t="s">
        <v>20</v>
      </c>
      <c r="G20" s="80">
        <v>1</v>
      </c>
      <c r="H20" s="99">
        <v>13247.36</v>
      </c>
      <c r="I20" s="74">
        <f t="shared" si="3"/>
        <v>158968.32</v>
      </c>
      <c r="J20" s="18">
        <v>12</v>
      </c>
      <c r="K20" s="74">
        <f t="shared" si="1"/>
        <v>21776.482191780822</v>
      </c>
      <c r="L20" s="75"/>
      <c r="M20" s="85">
        <f>+I20+K20</f>
        <v>180744.80219178082</v>
      </c>
    </row>
    <row r="21" spans="1:13" s="1" customFormat="1" ht="15.75" thickBot="1">
      <c r="A21" s="17" t="s">
        <v>151</v>
      </c>
      <c r="B21" s="18" t="s">
        <v>167</v>
      </c>
      <c r="C21" s="18"/>
      <c r="D21" s="19">
        <v>40</v>
      </c>
      <c r="E21" s="19" t="s">
        <v>27</v>
      </c>
      <c r="F21" s="19" t="s">
        <v>20</v>
      </c>
      <c r="G21" s="80">
        <v>1</v>
      </c>
      <c r="H21" s="99">
        <v>7082</v>
      </c>
      <c r="I21" s="74">
        <f t="shared" si="3"/>
        <v>84984</v>
      </c>
      <c r="J21" s="18">
        <v>12</v>
      </c>
      <c r="K21" s="74">
        <f>+I21/365*50</f>
        <v>11641.643835616438</v>
      </c>
      <c r="L21" s="75"/>
      <c r="M21" s="85">
        <f>+I21+K21</f>
        <v>96625.64383561644</v>
      </c>
    </row>
    <row r="22" spans="1:13" s="1" customFormat="1" ht="15.75" thickBot="1">
      <c r="A22" s="17" t="s">
        <v>151</v>
      </c>
      <c r="B22" s="18" t="s">
        <v>167</v>
      </c>
      <c r="C22" s="18"/>
      <c r="D22" s="19">
        <v>40</v>
      </c>
      <c r="E22" s="19" t="s">
        <v>27</v>
      </c>
      <c r="F22" s="19" t="s">
        <v>20</v>
      </c>
      <c r="G22" s="80">
        <v>1</v>
      </c>
      <c r="H22" s="99">
        <v>6223.2</v>
      </c>
      <c r="I22" s="74">
        <f t="shared" si="3"/>
        <v>74678.4</v>
      </c>
      <c r="J22" s="18">
        <v>12</v>
      </c>
      <c r="K22" s="74">
        <f t="shared" si="1"/>
        <v>10229.917808219177</v>
      </c>
      <c r="L22" s="75"/>
      <c r="M22" s="85">
        <f t="shared" si="2"/>
        <v>84908.31780821917</v>
      </c>
    </row>
    <row r="23" spans="1:13" s="1" customFormat="1" ht="15.75" thickBot="1">
      <c r="A23" s="17" t="s">
        <v>151</v>
      </c>
      <c r="B23" s="18" t="s">
        <v>167</v>
      </c>
      <c r="C23" s="18"/>
      <c r="D23" s="19">
        <v>40</v>
      </c>
      <c r="E23" s="19" t="s">
        <v>27</v>
      </c>
      <c r="F23" s="19" t="s">
        <v>20</v>
      </c>
      <c r="G23" s="80">
        <v>1</v>
      </c>
      <c r="H23" s="99">
        <v>7875.6</v>
      </c>
      <c r="I23" s="74">
        <f t="shared" si="3"/>
        <v>94507.20000000001</v>
      </c>
      <c r="J23" s="18">
        <v>12</v>
      </c>
      <c r="K23" s="74">
        <f t="shared" si="1"/>
        <v>12946.19178082192</v>
      </c>
      <c r="L23" s="75"/>
      <c r="M23" s="85">
        <f t="shared" si="2"/>
        <v>107453.39178082193</v>
      </c>
    </row>
    <row r="24" spans="1:13" s="1" customFormat="1" ht="15.75" thickBot="1">
      <c r="A24" s="17" t="s">
        <v>151</v>
      </c>
      <c r="B24" s="18" t="s">
        <v>167</v>
      </c>
      <c r="C24" s="18"/>
      <c r="D24" s="19">
        <v>40</v>
      </c>
      <c r="E24" s="19" t="s">
        <v>27</v>
      </c>
      <c r="F24" s="19" t="s">
        <v>20</v>
      </c>
      <c r="G24" s="80">
        <v>1</v>
      </c>
      <c r="H24" s="99">
        <v>6939.28</v>
      </c>
      <c r="I24" s="74">
        <f t="shared" si="3"/>
        <v>83271.36</v>
      </c>
      <c r="J24" s="18">
        <v>12</v>
      </c>
      <c r="K24" s="74">
        <f t="shared" si="1"/>
        <v>11407.035616438357</v>
      </c>
      <c r="L24" s="75"/>
      <c r="M24" s="85">
        <f>+I24+K24</f>
        <v>94678.39561643836</v>
      </c>
    </row>
    <row r="25" spans="1:13" ht="15.75" thickBot="1">
      <c r="A25" s="12"/>
      <c r="B25" s="13"/>
      <c r="C25" s="13"/>
      <c r="D25" s="54" t="s">
        <v>43</v>
      </c>
      <c r="E25" s="54"/>
      <c r="F25" s="54"/>
      <c r="G25" s="65">
        <f>SUM(G6:G24)</f>
        <v>19</v>
      </c>
      <c r="H25" s="55">
        <f>SUM(H6:H24)</f>
        <v>363540.27800000005</v>
      </c>
      <c r="I25" s="101">
        <f>SUM(I6:I24)</f>
        <v>4217125.016</v>
      </c>
      <c r="J25" s="66"/>
      <c r="K25" s="101">
        <f>SUM(K6:K24)</f>
        <v>577688.3583561644</v>
      </c>
      <c r="L25" s="67"/>
      <c r="M25" s="55">
        <f>SUM(M6:M24)</f>
        <v>4794813.374356163</v>
      </c>
    </row>
    <row r="26" spans="1:13" ht="30">
      <c r="A26" s="38" t="s">
        <v>164</v>
      </c>
      <c r="B26" s="68"/>
      <c r="C26" s="68"/>
      <c r="D26" s="69"/>
      <c r="E26" s="69"/>
      <c r="F26" s="69"/>
      <c r="G26" s="69"/>
      <c r="H26" s="70"/>
      <c r="I26" s="147"/>
      <c r="J26" s="68"/>
      <c r="K26" s="147"/>
      <c r="L26" s="71"/>
      <c r="M26" s="72"/>
    </row>
    <row r="27" spans="1:13" s="1" customFormat="1" ht="15">
      <c r="A27" s="148" t="s">
        <v>209</v>
      </c>
      <c r="B27" s="149" t="s">
        <v>165</v>
      </c>
      <c r="C27" s="155"/>
      <c r="D27" s="19">
        <v>8</v>
      </c>
      <c r="E27" s="19" t="s">
        <v>45</v>
      </c>
      <c r="F27" s="19" t="s">
        <v>20</v>
      </c>
      <c r="G27" s="19">
        <v>1</v>
      </c>
      <c r="H27" s="100">
        <f>23918.48*1.05</f>
        <v>25114.404000000002</v>
      </c>
      <c r="I27" s="21">
        <f>+H27*J27</f>
        <v>301372.848</v>
      </c>
      <c r="J27" s="18">
        <v>12</v>
      </c>
      <c r="K27" s="21">
        <f t="shared" si="1"/>
        <v>41283.95178082192</v>
      </c>
      <c r="L27" s="75"/>
      <c r="M27" s="21">
        <f aca="true" t="shared" si="4" ref="M27:M35">+I27+K27</f>
        <v>342656.7997808219</v>
      </c>
    </row>
    <row r="28" spans="1:13" s="1" customFormat="1" ht="15">
      <c r="A28" s="148" t="s">
        <v>210</v>
      </c>
      <c r="B28" s="150"/>
      <c r="C28" s="155"/>
      <c r="D28" s="19">
        <v>8</v>
      </c>
      <c r="E28" s="19" t="s">
        <v>45</v>
      </c>
      <c r="F28" s="19" t="s">
        <v>20</v>
      </c>
      <c r="G28" s="19">
        <v>1</v>
      </c>
      <c r="H28" s="100">
        <f aca="true" t="shared" si="5" ref="H28:H35">13841.7*1.05</f>
        <v>14533.785000000002</v>
      </c>
      <c r="I28" s="21">
        <f>+H28*J28</f>
        <v>174405.42</v>
      </c>
      <c r="J28" s="18">
        <v>12</v>
      </c>
      <c r="K28" s="21">
        <f aca="true" t="shared" si="6" ref="K28:K35">+I28/365*50</f>
        <v>23891.153424657536</v>
      </c>
      <c r="L28" s="75"/>
      <c r="M28" s="21">
        <f t="shared" si="4"/>
        <v>198296.57342465754</v>
      </c>
    </row>
    <row r="29" spans="1:13" s="1" customFormat="1" ht="15">
      <c r="A29" s="148" t="s">
        <v>210</v>
      </c>
      <c r="B29" s="150"/>
      <c r="C29" s="155"/>
      <c r="D29" s="19">
        <v>8</v>
      </c>
      <c r="E29" s="19" t="s">
        <v>45</v>
      </c>
      <c r="F29" s="19" t="s">
        <v>20</v>
      </c>
      <c r="G29" s="19">
        <v>1</v>
      </c>
      <c r="H29" s="100">
        <f t="shared" si="5"/>
        <v>14533.785000000002</v>
      </c>
      <c r="I29" s="21">
        <f>+H29*J29</f>
        <v>174405.42</v>
      </c>
      <c r="J29" s="18">
        <v>12</v>
      </c>
      <c r="K29" s="21">
        <f t="shared" si="6"/>
        <v>23891.153424657536</v>
      </c>
      <c r="L29" s="75"/>
      <c r="M29" s="21">
        <f t="shared" si="4"/>
        <v>198296.57342465754</v>
      </c>
    </row>
    <row r="30" spans="1:13" s="1" customFormat="1" ht="15">
      <c r="A30" s="167" t="s">
        <v>210</v>
      </c>
      <c r="B30" s="168"/>
      <c r="C30" s="167"/>
      <c r="D30" s="169">
        <v>8</v>
      </c>
      <c r="E30" s="169" t="s">
        <v>45</v>
      </c>
      <c r="F30" s="169" t="s">
        <v>20</v>
      </c>
      <c r="G30" s="169">
        <v>1</v>
      </c>
      <c r="H30" s="170">
        <f t="shared" si="5"/>
        <v>14533.785000000002</v>
      </c>
      <c r="I30" s="171">
        <f>+H30*J30</f>
        <v>174405.42</v>
      </c>
      <c r="J30" s="172">
        <v>12</v>
      </c>
      <c r="K30" s="171">
        <f t="shared" si="6"/>
        <v>23891.153424657536</v>
      </c>
      <c r="L30" s="173"/>
      <c r="M30" s="171">
        <f t="shared" si="4"/>
        <v>198296.57342465754</v>
      </c>
    </row>
    <row r="31" spans="1:13" ht="15">
      <c r="A31" s="167" t="s">
        <v>210</v>
      </c>
      <c r="B31" s="168"/>
      <c r="C31" s="167"/>
      <c r="D31" s="169">
        <v>8</v>
      </c>
      <c r="E31" s="169" t="s">
        <v>45</v>
      </c>
      <c r="F31" s="169" t="s">
        <v>20</v>
      </c>
      <c r="G31" s="169">
        <v>1</v>
      </c>
      <c r="H31" s="170">
        <f t="shared" si="5"/>
        <v>14533.785000000002</v>
      </c>
      <c r="I31" s="171">
        <f aca="true" t="shared" si="7" ref="I31:I88">+H31*J31</f>
        <v>174405.42</v>
      </c>
      <c r="J31" s="172">
        <v>12</v>
      </c>
      <c r="K31" s="171">
        <f t="shared" si="6"/>
        <v>23891.153424657536</v>
      </c>
      <c r="L31" s="173"/>
      <c r="M31" s="171">
        <f t="shared" si="4"/>
        <v>198296.57342465754</v>
      </c>
    </row>
    <row r="32" spans="1:13" s="1" customFormat="1" ht="15">
      <c r="A32" s="167" t="s">
        <v>210</v>
      </c>
      <c r="B32" s="168"/>
      <c r="C32" s="167"/>
      <c r="D32" s="169">
        <v>8</v>
      </c>
      <c r="E32" s="169" t="s">
        <v>45</v>
      </c>
      <c r="F32" s="169" t="s">
        <v>20</v>
      </c>
      <c r="G32" s="169">
        <v>1</v>
      </c>
      <c r="H32" s="170">
        <f t="shared" si="5"/>
        <v>14533.785000000002</v>
      </c>
      <c r="I32" s="171">
        <f t="shared" si="7"/>
        <v>174405.42</v>
      </c>
      <c r="J32" s="172">
        <v>12</v>
      </c>
      <c r="K32" s="171">
        <f t="shared" si="6"/>
        <v>23891.153424657536</v>
      </c>
      <c r="L32" s="173"/>
      <c r="M32" s="171">
        <f t="shared" si="4"/>
        <v>198296.57342465754</v>
      </c>
    </row>
    <row r="33" spans="1:13" ht="15">
      <c r="A33" s="167" t="s">
        <v>210</v>
      </c>
      <c r="B33" s="168"/>
      <c r="C33" s="167"/>
      <c r="D33" s="169">
        <v>8</v>
      </c>
      <c r="E33" s="169" t="s">
        <v>45</v>
      </c>
      <c r="F33" s="169" t="s">
        <v>20</v>
      </c>
      <c r="G33" s="169">
        <v>1</v>
      </c>
      <c r="H33" s="170">
        <f t="shared" si="5"/>
        <v>14533.785000000002</v>
      </c>
      <c r="I33" s="171">
        <f t="shared" si="7"/>
        <v>174405.42</v>
      </c>
      <c r="J33" s="172">
        <v>12</v>
      </c>
      <c r="K33" s="171">
        <f t="shared" si="6"/>
        <v>23891.153424657536</v>
      </c>
      <c r="L33" s="173"/>
      <c r="M33" s="171">
        <f t="shared" si="4"/>
        <v>198296.57342465754</v>
      </c>
    </row>
    <row r="34" spans="1:13" ht="15">
      <c r="A34" s="167" t="s">
        <v>210</v>
      </c>
      <c r="B34" s="168"/>
      <c r="C34" s="167"/>
      <c r="D34" s="169">
        <v>8</v>
      </c>
      <c r="E34" s="169" t="s">
        <v>45</v>
      </c>
      <c r="F34" s="169" t="s">
        <v>20</v>
      </c>
      <c r="G34" s="169">
        <v>1</v>
      </c>
      <c r="H34" s="170">
        <f t="shared" si="5"/>
        <v>14533.785000000002</v>
      </c>
      <c r="I34" s="171">
        <f t="shared" si="7"/>
        <v>174405.42</v>
      </c>
      <c r="J34" s="172">
        <v>12</v>
      </c>
      <c r="K34" s="171">
        <f t="shared" si="6"/>
        <v>23891.153424657536</v>
      </c>
      <c r="L34" s="173"/>
      <c r="M34" s="171">
        <f t="shared" si="4"/>
        <v>198296.57342465754</v>
      </c>
    </row>
    <row r="35" spans="1:13" ht="15">
      <c r="A35" s="167" t="s">
        <v>210</v>
      </c>
      <c r="B35" s="168"/>
      <c r="C35" s="167"/>
      <c r="D35" s="169">
        <v>8</v>
      </c>
      <c r="E35" s="169" t="s">
        <v>45</v>
      </c>
      <c r="F35" s="169" t="s">
        <v>20</v>
      </c>
      <c r="G35" s="169">
        <v>1</v>
      </c>
      <c r="H35" s="170">
        <f t="shared" si="5"/>
        <v>14533.785000000002</v>
      </c>
      <c r="I35" s="171">
        <f t="shared" si="7"/>
        <v>145337.85</v>
      </c>
      <c r="J35" s="172">
        <v>10</v>
      </c>
      <c r="K35" s="171">
        <f t="shared" si="6"/>
        <v>19909.294520547945</v>
      </c>
      <c r="L35" s="173"/>
      <c r="M35" s="171">
        <f t="shared" si="4"/>
        <v>165247.14452054794</v>
      </c>
    </row>
    <row r="36" spans="1:13" s="1" customFormat="1" ht="15">
      <c r="A36" s="167" t="s">
        <v>210</v>
      </c>
      <c r="B36" s="168"/>
      <c r="C36" s="167"/>
      <c r="D36" s="169">
        <v>8</v>
      </c>
      <c r="E36" s="169" t="s">
        <v>45</v>
      </c>
      <c r="F36" s="169" t="s">
        <v>20</v>
      </c>
      <c r="G36" s="169">
        <v>1</v>
      </c>
      <c r="H36" s="170">
        <f aca="true" t="shared" si="8" ref="H36:H88">13841.7*1.05</f>
        <v>14533.785000000002</v>
      </c>
      <c r="I36" s="171">
        <f t="shared" si="7"/>
        <v>174405.42</v>
      </c>
      <c r="J36" s="172">
        <v>12</v>
      </c>
      <c r="K36" s="171">
        <f t="shared" si="1"/>
        <v>23891.153424657536</v>
      </c>
      <c r="L36" s="173"/>
      <c r="M36" s="171">
        <f aca="true" t="shared" si="9" ref="M36:M88">+I36+K36</f>
        <v>198296.57342465754</v>
      </c>
    </row>
    <row r="37" spans="1:13" s="1" customFormat="1" ht="15">
      <c r="A37" s="167" t="s">
        <v>210</v>
      </c>
      <c r="B37" s="168"/>
      <c r="C37" s="167"/>
      <c r="D37" s="169">
        <v>8</v>
      </c>
      <c r="E37" s="169" t="s">
        <v>45</v>
      </c>
      <c r="F37" s="169" t="s">
        <v>20</v>
      </c>
      <c r="G37" s="169">
        <v>1</v>
      </c>
      <c r="H37" s="170">
        <f t="shared" si="8"/>
        <v>14533.785000000002</v>
      </c>
      <c r="I37" s="171">
        <f t="shared" si="7"/>
        <v>174405.42</v>
      </c>
      <c r="J37" s="172">
        <v>12</v>
      </c>
      <c r="K37" s="171">
        <f t="shared" si="1"/>
        <v>23891.153424657536</v>
      </c>
      <c r="L37" s="173"/>
      <c r="M37" s="171">
        <f t="shared" si="9"/>
        <v>198296.57342465754</v>
      </c>
    </row>
    <row r="38" spans="1:13" s="1" customFormat="1" ht="15">
      <c r="A38" s="167" t="s">
        <v>210</v>
      </c>
      <c r="B38" s="168"/>
      <c r="C38" s="167"/>
      <c r="D38" s="169">
        <v>8</v>
      </c>
      <c r="E38" s="169" t="s">
        <v>45</v>
      </c>
      <c r="F38" s="169" t="s">
        <v>20</v>
      </c>
      <c r="G38" s="169">
        <v>1</v>
      </c>
      <c r="H38" s="170">
        <f t="shared" si="8"/>
        <v>14533.785000000002</v>
      </c>
      <c r="I38" s="171">
        <f t="shared" si="7"/>
        <v>174405.42</v>
      </c>
      <c r="J38" s="172">
        <v>12</v>
      </c>
      <c r="K38" s="171">
        <f t="shared" si="1"/>
        <v>23891.153424657536</v>
      </c>
      <c r="L38" s="173"/>
      <c r="M38" s="171">
        <f t="shared" si="9"/>
        <v>198296.57342465754</v>
      </c>
    </row>
    <row r="39" spans="1:13" ht="15">
      <c r="A39" s="167" t="s">
        <v>210</v>
      </c>
      <c r="B39" s="168"/>
      <c r="C39" s="167"/>
      <c r="D39" s="169">
        <v>8</v>
      </c>
      <c r="E39" s="169" t="s">
        <v>45</v>
      </c>
      <c r="F39" s="169" t="s">
        <v>20</v>
      </c>
      <c r="G39" s="169">
        <v>1</v>
      </c>
      <c r="H39" s="170">
        <f t="shared" si="8"/>
        <v>14533.785000000002</v>
      </c>
      <c r="I39" s="171">
        <f t="shared" si="7"/>
        <v>174405.42</v>
      </c>
      <c r="J39" s="172">
        <v>12</v>
      </c>
      <c r="K39" s="171">
        <f t="shared" si="1"/>
        <v>23891.153424657536</v>
      </c>
      <c r="L39" s="173"/>
      <c r="M39" s="171">
        <f t="shared" si="9"/>
        <v>198296.57342465754</v>
      </c>
    </row>
    <row r="40" spans="1:13" s="1" customFormat="1" ht="15">
      <c r="A40" s="167" t="s">
        <v>210</v>
      </c>
      <c r="B40" s="168"/>
      <c r="C40" s="167"/>
      <c r="D40" s="169">
        <v>8</v>
      </c>
      <c r="E40" s="169" t="s">
        <v>45</v>
      </c>
      <c r="F40" s="169" t="s">
        <v>20</v>
      </c>
      <c r="G40" s="169">
        <v>1</v>
      </c>
      <c r="H40" s="170">
        <f t="shared" si="8"/>
        <v>14533.785000000002</v>
      </c>
      <c r="I40" s="171">
        <f t="shared" si="7"/>
        <v>174405.42</v>
      </c>
      <c r="J40" s="172">
        <v>12</v>
      </c>
      <c r="K40" s="171">
        <f t="shared" si="1"/>
        <v>23891.153424657536</v>
      </c>
      <c r="L40" s="173"/>
      <c r="M40" s="171">
        <f t="shared" si="9"/>
        <v>198296.57342465754</v>
      </c>
    </row>
    <row r="41" spans="1:13" s="1" customFormat="1" ht="15">
      <c r="A41" s="167" t="s">
        <v>213</v>
      </c>
      <c r="B41" s="168"/>
      <c r="C41" s="167"/>
      <c r="D41" s="169">
        <v>8</v>
      </c>
      <c r="E41" s="169" t="s">
        <v>45</v>
      </c>
      <c r="F41" s="169" t="s">
        <v>20</v>
      </c>
      <c r="G41" s="169">
        <v>1</v>
      </c>
      <c r="H41" s="170">
        <v>17440.87</v>
      </c>
      <c r="I41" s="171">
        <f t="shared" si="7"/>
        <v>209290.44</v>
      </c>
      <c r="J41" s="172">
        <v>12</v>
      </c>
      <c r="K41" s="171">
        <f t="shared" si="1"/>
        <v>28669.923287671234</v>
      </c>
      <c r="L41" s="173"/>
      <c r="M41" s="171">
        <f t="shared" si="9"/>
        <v>237960.36328767124</v>
      </c>
    </row>
    <row r="42" spans="1:13" ht="15">
      <c r="A42" s="167" t="s">
        <v>210</v>
      </c>
      <c r="B42" s="168"/>
      <c r="C42" s="167"/>
      <c r="D42" s="169">
        <v>8</v>
      </c>
      <c r="E42" s="169" t="s">
        <v>45</v>
      </c>
      <c r="F42" s="169" t="s">
        <v>20</v>
      </c>
      <c r="G42" s="169">
        <v>1</v>
      </c>
      <c r="H42" s="170">
        <f>13841.7*1.05</f>
        <v>14533.785000000002</v>
      </c>
      <c r="I42" s="171">
        <f t="shared" si="7"/>
        <v>174405.42</v>
      </c>
      <c r="J42" s="172">
        <v>12</v>
      </c>
      <c r="K42" s="171">
        <f t="shared" si="1"/>
        <v>23891.153424657536</v>
      </c>
      <c r="L42" s="173"/>
      <c r="M42" s="171">
        <f t="shared" si="9"/>
        <v>198296.57342465754</v>
      </c>
    </row>
    <row r="43" spans="1:13" ht="15">
      <c r="A43" s="167" t="s">
        <v>210</v>
      </c>
      <c r="B43" s="168"/>
      <c r="C43" s="167"/>
      <c r="D43" s="169">
        <v>8</v>
      </c>
      <c r="E43" s="169" t="s">
        <v>45</v>
      </c>
      <c r="F43" s="169" t="s">
        <v>20</v>
      </c>
      <c r="G43" s="169">
        <v>1</v>
      </c>
      <c r="H43" s="170">
        <v>14533.79</v>
      </c>
      <c r="I43" s="171">
        <f t="shared" si="7"/>
        <v>145337.90000000002</v>
      </c>
      <c r="J43" s="172">
        <v>10</v>
      </c>
      <c r="K43" s="171">
        <f t="shared" si="1"/>
        <v>19909.301369863017</v>
      </c>
      <c r="L43" s="173"/>
      <c r="M43" s="171">
        <f t="shared" si="9"/>
        <v>165247.20136986303</v>
      </c>
    </row>
    <row r="44" spans="1:13" ht="15">
      <c r="A44" s="167" t="s">
        <v>210</v>
      </c>
      <c r="B44" s="168"/>
      <c r="C44" s="167"/>
      <c r="D44" s="169">
        <v>8</v>
      </c>
      <c r="E44" s="169" t="s">
        <v>45</v>
      </c>
      <c r="F44" s="169" t="s">
        <v>20</v>
      </c>
      <c r="G44" s="169">
        <v>1</v>
      </c>
      <c r="H44" s="170">
        <f>13841.7*1.05</f>
        <v>14533.785000000002</v>
      </c>
      <c r="I44" s="171">
        <f t="shared" si="7"/>
        <v>174405.42</v>
      </c>
      <c r="J44" s="172">
        <v>12</v>
      </c>
      <c r="K44" s="171">
        <f t="shared" si="1"/>
        <v>23891.153424657536</v>
      </c>
      <c r="L44" s="173"/>
      <c r="M44" s="171">
        <f t="shared" si="9"/>
        <v>198296.57342465754</v>
      </c>
    </row>
    <row r="45" spans="1:13" s="1" customFormat="1" ht="15">
      <c r="A45" s="167" t="s">
        <v>210</v>
      </c>
      <c r="B45" s="168"/>
      <c r="C45" s="167"/>
      <c r="D45" s="169">
        <v>8</v>
      </c>
      <c r="E45" s="169" t="s">
        <v>45</v>
      </c>
      <c r="F45" s="169" t="s">
        <v>20</v>
      </c>
      <c r="G45" s="169">
        <v>1</v>
      </c>
      <c r="H45" s="170">
        <f t="shared" si="8"/>
        <v>14533.785000000002</v>
      </c>
      <c r="I45" s="171">
        <f t="shared" si="7"/>
        <v>174405.42</v>
      </c>
      <c r="J45" s="172">
        <v>12</v>
      </c>
      <c r="K45" s="171">
        <f t="shared" si="1"/>
        <v>23891.153424657536</v>
      </c>
      <c r="L45" s="173"/>
      <c r="M45" s="171">
        <f t="shared" si="9"/>
        <v>198296.57342465754</v>
      </c>
    </row>
    <row r="46" spans="1:13" ht="15">
      <c r="A46" s="167" t="s">
        <v>210</v>
      </c>
      <c r="B46" s="168"/>
      <c r="C46" s="167"/>
      <c r="D46" s="169">
        <v>8</v>
      </c>
      <c r="E46" s="169" t="s">
        <v>45</v>
      </c>
      <c r="F46" s="169" t="s">
        <v>20</v>
      </c>
      <c r="G46" s="169">
        <v>1</v>
      </c>
      <c r="H46" s="170">
        <f t="shared" si="8"/>
        <v>14533.785000000002</v>
      </c>
      <c r="I46" s="171">
        <f t="shared" si="7"/>
        <v>174405.42</v>
      </c>
      <c r="J46" s="172">
        <v>12</v>
      </c>
      <c r="K46" s="171">
        <f t="shared" si="1"/>
        <v>23891.153424657536</v>
      </c>
      <c r="L46" s="173"/>
      <c r="M46" s="171">
        <f t="shared" si="9"/>
        <v>198296.57342465754</v>
      </c>
    </row>
    <row r="47" spans="1:13" s="1" customFormat="1" ht="15">
      <c r="A47" s="167" t="s">
        <v>210</v>
      </c>
      <c r="B47" s="168"/>
      <c r="C47" s="167"/>
      <c r="D47" s="169">
        <v>8</v>
      </c>
      <c r="E47" s="169" t="s">
        <v>45</v>
      </c>
      <c r="F47" s="169" t="s">
        <v>20</v>
      </c>
      <c r="G47" s="169">
        <v>1</v>
      </c>
      <c r="H47" s="170">
        <f t="shared" si="8"/>
        <v>14533.785000000002</v>
      </c>
      <c r="I47" s="171">
        <f t="shared" si="7"/>
        <v>174405.42</v>
      </c>
      <c r="J47" s="172">
        <v>12</v>
      </c>
      <c r="K47" s="171">
        <f t="shared" si="1"/>
        <v>23891.153424657536</v>
      </c>
      <c r="L47" s="173"/>
      <c r="M47" s="171">
        <f t="shared" si="9"/>
        <v>198296.57342465754</v>
      </c>
    </row>
    <row r="48" spans="1:13" ht="15">
      <c r="A48" s="167" t="s">
        <v>210</v>
      </c>
      <c r="B48" s="168"/>
      <c r="C48" s="167"/>
      <c r="D48" s="169">
        <v>8</v>
      </c>
      <c r="E48" s="169" t="s">
        <v>45</v>
      </c>
      <c r="F48" s="169" t="s">
        <v>20</v>
      </c>
      <c r="G48" s="169">
        <v>1</v>
      </c>
      <c r="H48" s="170">
        <f t="shared" si="8"/>
        <v>14533.785000000002</v>
      </c>
      <c r="I48" s="171">
        <f t="shared" si="7"/>
        <v>174405.42</v>
      </c>
      <c r="J48" s="172">
        <v>12</v>
      </c>
      <c r="K48" s="171">
        <f t="shared" si="1"/>
        <v>23891.153424657536</v>
      </c>
      <c r="L48" s="173"/>
      <c r="M48" s="171">
        <f t="shared" si="9"/>
        <v>198296.57342465754</v>
      </c>
    </row>
    <row r="49" spans="1:13" s="1" customFormat="1" ht="15">
      <c r="A49" s="167" t="s">
        <v>210</v>
      </c>
      <c r="B49" s="168"/>
      <c r="C49" s="167"/>
      <c r="D49" s="169">
        <v>8</v>
      </c>
      <c r="E49" s="169" t="s">
        <v>45</v>
      </c>
      <c r="F49" s="169" t="s">
        <v>20</v>
      </c>
      <c r="G49" s="169">
        <v>1</v>
      </c>
      <c r="H49" s="170">
        <f t="shared" si="8"/>
        <v>14533.785000000002</v>
      </c>
      <c r="I49" s="171">
        <f t="shared" si="7"/>
        <v>174405.42</v>
      </c>
      <c r="J49" s="172">
        <v>12</v>
      </c>
      <c r="K49" s="171">
        <f t="shared" si="1"/>
        <v>23891.153424657536</v>
      </c>
      <c r="L49" s="173"/>
      <c r="M49" s="171">
        <f t="shared" si="9"/>
        <v>198296.57342465754</v>
      </c>
    </row>
    <row r="50" spans="1:13" s="1" customFormat="1" ht="15">
      <c r="A50" s="167" t="s">
        <v>210</v>
      </c>
      <c r="B50" s="168"/>
      <c r="C50" s="167"/>
      <c r="D50" s="169">
        <v>8</v>
      </c>
      <c r="E50" s="169" t="s">
        <v>45</v>
      </c>
      <c r="F50" s="169" t="s">
        <v>20</v>
      </c>
      <c r="G50" s="169">
        <v>1</v>
      </c>
      <c r="H50" s="170">
        <f t="shared" si="8"/>
        <v>14533.785000000002</v>
      </c>
      <c r="I50" s="171">
        <f t="shared" si="7"/>
        <v>174405.42</v>
      </c>
      <c r="J50" s="172">
        <v>12</v>
      </c>
      <c r="K50" s="171">
        <f t="shared" si="1"/>
        <v>23891.153424657536</v>
      </c>
      <c r="L50" s="173"/>
      <c r="M50" s="171">
        <f t="shared" si="9"/>
        <v>198296.57342465754</v>
      </c>
    </row>
    <row r="51" spans="1:13" s="1" customFormat="1" ht="15">
      <c r="A51" s="167" t="s">
        <v>210</v>
      </c>
      <c r="B51" s="168"/>
      <c r="C51" s="167"/>
      <c r="D51" s="169">
        <v>8</v>
      </c>
      <c r="E51" s="169" t="s">
        <v>45</v>
      </c>
      <c r="F51" s="169" t="s">
        <v>20</v>
      </c>
      <c r="G51" s="169">
        <v>1</v>
      </c>
      <c r="H51" s="170">
        <f t="shared" si="8"/>
        <v>14533.785000000002</v>
      </c>
      <c r="I51" s="171">
        <f t="shared" si="7"/>
        <v>174405.42</v>
      </c>
      <c r="J51" s="172">
        <v>12</v>
      </c>
      <c r="K51" s="171">
        <f>+I51/365*50</f>
        <v>23891.153424657536</v>
      </c>
      <c r="L51" s="173"/>
      <c r="M51" s="171">
        <f>+I51+K51</f>
        <v>198296.57342465754</v>
      </c>
    </row>
    <row r="52" spans="1:13" s="1" customFormat="1" ht="15">
      <c r="A52" s="167" t="s">
        <v>210</v>
      </c>
      <c r="B52" s="168"/>
      <c r="C52" s="167"/>
      <c r="D52" s="169">
        <v>8</v>
      </c>
      <c r="E52" s="169" t="s">
        <v>45</v>
      </c>
      <c r="F52" s="169" t="s">
        <v>20</v>
      </c>
      <c r="G52" s="169">
        <v>1</v>
      </c>
      <c r="H52" s="170">
        <f t="shared" si="8"/>
        <v>14533.785000000002</v>
      </c>
      <c r="I52" s="171">
        <f t="shared" si="7"/>
        <v>174405.42</v>
      </c>
      <c r="J52" s="172">
        <v>12</v>
      </c>
      <c r="K52" s="171">
        <f>+I52/365*50</f>
        <v>23891.153424657536</v>
      </c>
      <c r="L52" s="173"/>
      <c r="M52" s="171">
        <f>+I52+K52</f>
        <v>198296.57342465754</v>
      </c>
    </row>
    <row r="53" spans="1:13" ht="15">
      <c r="A53" s="167" t="s">
        <v>210</v>
      </c>
      <c r="B53" s="168"/>
      <c r="C53" s="167"/>
      <c r="D53" s="169">
        <v>8</v>
      </c>
      <c r="E53" s="169" t="s">
        <v>45</v>
      </c>
      <c r="F53" s="169" t="s">
        <v>20</v>
      </c>
      <c r="G53" s="169">
        <v>1</v>
      </c>
      <c r="H53" s="170">
        <f t="shared" si="8"/>
        <v>14533.785000000002</v>
      </c>
      <c r="I53" s="171">
        <f t="shared" si="7"/>
        <v>174405.42</v>
      </c>
      <c r="J53" s="172">
        <v>12</v>
      </c>
      <c r="K53" s="171">
        <f aca="true" t="shared" si="10" ref="K53:K58">+I53/365*50</f>
        <v>23891.153424657536</v>
      </c>
      <c r="L53" s="173"/>
      <c r="M53" s="171">
        <f aca="true" t="shared" si="11" ref="M53:M58">+I53+K53</f>
        <v>198296.57342465754</v>
      </c>
    </row>
    <row r="54" spans="1:13" ht="15">
      <c r="A54" s="167" t="s">
        <v>210</v>
      </c>
      <c r="B54" s="168"/>
      <c r="C54" s="167"/>
      <c r="D54" s="169">
        <v>8</v>
      </c>
      <c r="E54" s="169" t="s">
        <v>45</v>
      </c>
      <c r="F54" s="169" t="s">
        <v>20</v>
      </c>
      <c r="G54" s="169">
        <v>1</v>
      </c>
      <c r="H54" s="170">
        <f t="shared" si="8"/>
        <v>14533.785000000002</v>
      </c>
      <c r="I54" s="171">
        <f t="shared" si="7"/>
        <v>174405.42</v>
      </c>
      <c r="J54" s="172">
        <v>12</v>
      </c>
      <c r="K54" s="171">
        <f t="shared" si="10"/>
        <v>23891.153424657536</v>
      </c>
      <c r="L54" s="173"/>
      <c r="M54" s="171">
        <f t="shared" si="11"/>
        <v>198296.57342465754</v>
      </c>
    </row>
    <row r="55" spans="1:13" ht="15">
      <c r="A55" s="167" t="s">
        <v>210</v>
      </c>
      <c r="B55" s="168"/>
      <c r="C55" s="167"/>
      <c r="D55" s="169">
        <v>8</v>
      </c>
      <c r="E55" s="169" t="s">
        <v>45</v>
      </c>
      <c r="F55" s="169" t="s">
        <v>20</v>
      </c>
      <c r="G55" s="169">
        <v>1</v>
      </c>
      <c r="H55" s="170">
        <f t="shared" si="8"/>
        <v>14533.785000000002</v>
      </c>
      <c r="I55" s="171">
        <f t="shared" si="7"/>
        <v>174405.42</v>
      </c>
      <c r="J55" s="172">
        <v>12</v>
      </c>
      <c r="K55" s="171">
        <f t="shared" si="10"/>
        <v>23891.153424657536</v>
      </c>
      <c r="L55" s="173"/>
      <c r="M55" s="171">
        <f t="shared" si="11"/>
        <v>198296.57342465754</v>
      </c>
    </row>
    <row r="56" spans="1:13" ht="15">
      <c r="A56" s="167" t="s">
        <v>210</v>
      </c>
      <c r="B56" s="168"/>
      <c r="C56" s="167"/>
      <c r="D56" s="169">
        <v>8</v>
      </c>
      <c r="E56" s="169" t="s">
        <v>45</v>
      </c>
      <c r="F56" s="169" t="s">
        <v>20</v>
      </c>
      <c r="G56" s="169">
        <v>1</v>
      </c>
      <c r="H56" s="170">
        <f t="shared" si="8"/>
        <v>14533.785000000002</v>
      </c>
      <c r="I56" s="171">
        <f t="shared" si="7"/>
        <v>174405.42</v>
      </c>
      <c r="J56" s="172">
        <v>12</v>
      </c>
      <c r="K56" s="171">
        <f t="shared" si="10"/>
        <v>23891.153424657536</v>
      </c>
      <c r="L56" s="173"/>
      <c r="M56" s="171">
        <f t="shared" si="11"/>
        <v>198296.57342465754</v>
      </c>
    </row>
    <row r="57" spans="1:13" ht="15">
      <c r="A57" s="167" t="s">
        <v>210</v>
      </c>
      <c r="B57" s="168"/>
      <c r="C57" s="167"/>
      <c r="D57" s="169">
        <v>8</v>
      </c>
      <c r="E57" s="169" t="s">
        <v>45</v>
      </c>
      <c r="F57" s="169" t="s">
        <v>20</v>
      </c>
      <c r="G57" s="169">
        <v>1</v>
      </c>
      <c r="H57" s="170">
        <f t="shared" si="8"/>
        <v>14533.785000000002</v>
      </c>
      <c r="I57" s="171">
        <f t="shared" si="7"/>
        <v>174405.42</v>
      </c>
      <c r="J57" s="172">
        <v>12</v>
      </c>
      <c r="K57" s="171">
        <f t="shared" si="10"/>
        <v>23891.153424657536</v>
      </c>
      <c r="L57" s="173"/>
      <c r="M57" s="171">
        <f t="shared" si="11"/>
        <v>198296.57342465754</v>
      </c>
    </row>
    <row r="58" spans="1:13" ht="15">
      <c r="A58" s="167" t="s">
        <v>210</v>
      </c>
      <c r="B58" s="168"/>
      <c r="C58" s="167"/>
      <c r="D58" s="169">
        <v>8</v>
      </c>
      <c r="E58" s="169" t="s">
        <v>45</v>
      </c>
      <c r="F58" s="169" t="s">
        <v>20</v>
      </c>
      <c r="G58" s="169">
        <v>1</v>
      </c>
      <c r="H58" s="170">
        <f t="shared" si="8"/>
        <v>14533.785000000002</v>
      </c>
      <c r="I58" s="171">
        <f t="shared" si="7"/>
        <v>174405.42</v>
      </c>
      <c r="J58" s="172">
        <v>12</v>
      </c>
      <c r="K58" s="171">
        <f t="shared" si="10"/>
        <v>23891.153424657536</v>
      </c>
      <c r="L58" s="173"/>
      <c r="M58" s="171">
        <f t="shared" si="11"/>
        <v>198296.57342465754</v>
      </c>
    </row>
    <row r="59" spans="1:13" s="1" customFormat="1" ht="15">
      <c r="A59" s="167" t="s">
        <v>210</v>
      </c>
      <c r="B59" s="168"/>
      <c r="C59" s="167"/>
      <c r="D59" s="169">
        <v>8</v>
      </c>
      <c r="E59" s="169" t="s">
        <v>45</v>
      </c>
      <c r="F59" s="169" t="s">
        <v>20</v>
      </c>
      <c r="G59" s="169">
        <v>1</v>
      </c>
      <c r="H59" s="170">
        <f t="shared" si="8"/>
        <v>14533.785000000002</v>
      </c>
      <c r="I59" s="171">
        <f t="shared" si="7"/>
        <v>174405.42</v>
      </c>
      <c r="J59" s="172">
        <v>12</v>
      </c>
      <c r="K59" s="171">
        <f t="shared" si="1"/>
        <v>23891.153424657536</v>
      </c>
      <c r="L59" s="173"/>
      <c r="M59" s="171">
        <f t="shared" si="9"/>
        <v>198296.57342465754</v>
      </c>
    </row>
    <row r="60" spans="1:13" s="1" customFormat="1" ht="15">
      <c r="A60" s="167" t="s">
        <v>210</v>
      </c>
      <c r="B60" s="168"/>
      <c r="C60" s="167"/>
      <c r="D60" s="169">
        <v>8</v>
      </c>
      <c r="E60" s="169" t="s">
        <v>45</v>
      </c>
      <c r="F60" s="169" t="s">
        <v>20</v>
      </c>
      <c r="G60" s="169">
        <v>1</v>
      </c>
      <c r="H60" s="170">
        <f t="shared" si="8"/>
        <v>14533.785000000002</v>
      </c>
      <c r="I60" s="171">
        <f t="shared" si="7"/>
        <v>174405.42</v>
      </c>
      <c r="J60" s="172">
        <v>12</v>
      </c>
      <c r="K60" s="171">
        <f t="shared" si="1"/>
        <v>23891.153424657536</v>
      </c>
      <c r="L60" s="173"/>
      <c r="M60" s="171">
        <f t="shared" si="9"/>
        <v>198296.57342465754</v>
      </c>
    </row>
    <row r="61" spans="1:13" s="1" customFormat="1" ht="15">
      <c r="A61" s="167" t="s">
        <v>210</v>
      </c>
      <c r="B61" s="168"/>
      <c r="C61" s="167"/>
      <c r="D61" s="169">
        <v>8</v>
      </c>
      <c r="E61" s="169" t="s">
        <v>45</v>
      </c>
      <c r="F61" s="169" t="s">
        <v>20</v>
      </c>
      <c r="G61" s="169">
        <v>1</v>
      </c>
      <c r="H61" s="170">
        <f t="shared" si="8"/>
        <v>14533.785000000002</v>
      </c>
      <c r="I61" s="171">
        <f t="shared" si="7"/>
        <v>174405.42</v>
      </c>
      <c r="J61" s="172">
        <v>12</v>
      </c>
      <c r="K61" s="171">
        <f t="shared" si="1"/>
        <v>23891.153424657536</v>
      </c>
      <c r="L61" s="173"/>
      <c r="M61" s="171">
        <f t="shared" si="9"/>
        <v>198296.57342465754</v>
      </c>
    </row>
    <row r="62" spans="1:13" ht="15">
      <c r="A62" s="167" t="s">
        <v>210</v>
      </c>
      <c r="B62" s="168"/>
      <c r="C62" s="167"/>
      <c r="D62" s="169">
        <v>8</v>
      </c>
      <c r="E62" s="169" t="s">
        <v>45</v>
      </c>
      <c r="F62" s="169" t="s">
        <v>20</v>
      </c>
      <c r="G62" s="169">
        <v>1</v>
      </c>
      <c r="H62" s="170">
        <f t="shared" si="8"/>
        <v>14533.785000000002</v>
      </c>
      <c r="I62" s="171">
        <f t="shared" si="7"/>
        <v>174405.42</v>
      </c>
      <c r="J62" s="172">
        <v>12</v>
      </c>
      <c r="K62" s="171">
        <f t="shared" si="1"/>
        <v>23891.153424657536</v>
      </c>
      <c r="L62" s="173"/>
      <c r="M62" s="171">
        <f t="shared" si="9"/>
        <v>198296.57342465754</v>
      </c>
    </row>
    <row r="63" spans="1:13" s="1" customFormat="1" ht="15">
      <c r="A63" s="167" t="s">
        <v>210</v>
      </c>
      <c r="B63" s="168"/>
      <c r="C63" s="167"/>
      <c r="D63" s="169">
        <v>8</v>
      </c>
      <c r="E63" s="169" t="s">
        <v>45</v>
      </c>
      <c r="F63" s="169" t="s">
        <v>20</v>
      </c>
      <c r="G63" s="169">
        <v>1</v>
      </c>
      <c r="H63" s="170">
        <f t="shared" si="8"/>
        <v>14533.785000000002</v>
      </c>
      <c r="I63" s="171">
        <f t="shared" si="7"/>
        <v>174405.42</v>
      </c>
      <c r="J63" s="172">
        <v>12</v>
      </c>
      <c r="K63" s="171">
        <f t="shared" si="1"/>
        <v>23891.153424657536</v>
      </c>
      <c r="L63" s="173"/>
      <c r="M63" s="171">
        <f t="shared" si="9"/>
        <v>198296.57342465754</v>
      </c>
    </row>
    <row r="64" spans="1:13" s="1" customFormat="1" ht="15">
      <c r="A64" s="167" t="s">
        <v>210</v>
      </c>
      <c r="B64" s="168"/>
      <c r="C64" s="167"/>
      <c r="D64" s="169">
        <v>8</v>
      </c>
      <c r="E64" s="169" t="s">
        <v>45</v>
      </c>
      <c r="F64" s="169" t="s">
        <v>20</v>
      </c>
      <c r="G64" s="169">
        <v>1</v>
      </c>
      <c r="H64" s="170">
        <f t="shared" si="8"/>
        <v>14533.785000000002</v>
      </c>
      <c r="I64" s="171">
        <f t="shared" si="7"/>
        <v>174405.42</v>
      </c>
      <c r="J64" s="172">
        <v>12</v>
      </c>
      <c r="K64" s="171">
        <f t="shared" si="1"/>
        <v>23891.153424657536</v>
      </c>
      <c r="L64" s="173"/>
      <c r="M64" s="171">
        <f t="shared" si="9"/>
        <v>198296.57342465754</v>
      </c>
    </row>
    <row r="65" spans="1:13" s="1" customFormat="1" ht="15">
      <c r="A65" s="167" t="s">
        <v>210</v>
      </c>
      <c r="B65" s="168"/>
      <c r="C65" s="167"/>
      <c r="D65" s="169">
        <v>8</v>
      </c>
      <c r="E65" s="169" t="s">
        <v>45</v>
      </c>
      <c r="F65" s="169" t="s">
        <v>20</v>
      </c>
      <c r="G65" s="169">
        <v>1</v>
      </c>
      <c r="H65" s="170">
        <f t="shared" si="8"/>
        <v>14533.785000000002</v>
      </c>
      <c r="I65" s="171">
        <f t="shared" si="7"/>
        <v>174405.42</v>
      </c>
      <c r="J65" s="172">
        <v>12</v>
      </c>
      <c r="K65" s="171">
        <f t="shared" si="1"/>
        <v>23891.153424657536</v>
      </c>
      <c r="L65" s="173"/>
      <c r="M65" s="171">
        <f t="shared" si="9"/>
        <v>198296.57342465754</v>
      </c>
    </row>
    <row r="66" spans="1:13" s="1" customFormat="1" ht="15">
      <c r="A66" s="167" t="s">
        <v>210</v>
      </c>
      <c r="B66" s="168"/>
      <c r="C66" s="167"/>
      <c r="D66" s="169">
        <v>8</v>
      </c>
      <c r="E66" s="169" t="s">
        <v>45</v>
      </c>
      <c r="F66" s="169" t="s">
        <v>20</v>
      </c>
      <c r="G66" s="169">
        <v>1</v>
      </c>
      <c r="H66" s="170">
        <f t="shared" si="8"/>
        <v>14533.785000000002</v>
      </c>
      <c r="I66" s="171">
        <f t="shared" si="7"/>
        <v>174405.42</v>
      </c>
      <c r="J66" s="172">
        <v>12</v>
      </c>
      <c r="K66" s="171">
        <f aca="true" t="shared" si="12" ref="K66:K95">+I66/365*50</f>
        <v>23891.153424657536</v>
      </c>
      <c r="L66" s="173"/>
      <c r="M66" s="171">
        <f t="shared" si="9"/>
        <v>198296.57342465754</v>
      </c>
    </row>
    <row r="67" spans="1:13" s="1" customFormat="1" ht="15">
      <c r="A67" s="167" t="s">
        <v>210</v>
      </c>
      <c r="B67" s="168"/>
      <c r="C67" s="167"/>
      <c r="D67" s="169">
        <v>8</v>
      </c>
      <c r="E67" s="169" t="s">
        <v>45</v>
      </c>
      <c r="F67" s="169" t="s">
        <v>20</v>
      </c>
      <c r="G67" s="169">
        <v>1</v>
      </c>
      <c r="H67" s="170">
        <f t="shared" si="8"/>
        <v>14533.785000000002</v>
      </c>
      <c r="I67" s="171">
        <f t="shared" si="7"/>
        <v>174405.42</v>
      </c>
      <c r="J67" s="172">
        <v>12</v>
      </c>
      <c r="K67" s="171">
        <f t="shared" si="12"/>
        <v>23891.153424657536</v>
      </c>
      <c r="L67" s="173"/>
      <c r="M67" s="171">
        <f t="shared" si="9"/>
        <v>198296.57342465754</v>
      </c>
    </row>
    <row r="68" spans="1:13" ht="15">
      <c r="A68" s="167" t="s">
        <v>210</v>
      </c>
      <c r="B68" s="168"/>
      <c r="C68" s="167"/>
      <c r="D68" s="169">
        <v>8</v>
      </c>
      <c r="E68" s="169" t="s">
        <v>45</v>
      </c>
      <c r="F68" s="169" t="s">
        <v>20</v>
      </c>
      <c r="G68" s="169">
        <v>1</v>
      </c>
      <c r="H68" s="170">
        <f t="shared" si="8"/>
        <v>14533.785000000002</v>
      </c>
      <c r="I68" s="171">
        <f t="shared" si="7"/>
        <v>174405.42</v>
      </c>
      <c r="J68" s="172">
        <v>12</v>
      </c>
      <c r="K68" s="171">
        <f t="shared" si="12"/>
        <v>23891.153424657536</v>
      </c>
      <c r="L68" s="173"/>
      <c r="M68" s="171">
        <f t="shared" si="9"/>
        <v>198296.57342465754</v>
      </c>
    </row>
    <row r="69" spans="1:13" ht="15">
      <c r="A69" s="167" t="s">
        <v>210</v>
      </c>
      <c r="B69" s="168"/>
      <c r="C69" s="167"/>
      <c r="D69" s="169">
        <v>8</v>
      </c>
      <c r="E69" s="169" t="s">
        <v>45</v>
      </c>
      <c r="F69" s="169" t="s">
        <v>20</v>
      </c>
      <c r="G69" s="169">
        <v>1</v>
      </c>
      <c r="H69" s="170">
        <v>14533.76</v>
      </c>
      <c r="I69" s="171">
        <f t="shared" si="7"/>
        <v>174405.12</v>
      </c>
      <c r="J69" s="172">
        <v>12</v>
      </c>
      <c r="K69" s="171">
        <f t="shared" si="12"/>
        <v>23891.11232876712</v>
      </c>
      <c r="L69" s="173"/>
      <c r="M69" s="171">
        <f t="shared" si="9"/>
        <v>198296.23232876713</v>
      </c>
    </row>
    <row r="70" spans="1:13" ht="15">
      <c r="A70" s="167" t="s">
        <v>210</v>
      </c>
      <c r="B70" s="168"/>
      <c r="C70" s="167"/>
      <c r="D70" s="169">
        <v>8</v>
      </c>
      <c r="E70" s="169" t="s">
        <v>45</v>
      </c>
      <c r="F70" s="169" t="s">
        <v>20</v>
      </c>
      <c r="G70" s="169">
        <v>1</v>
      </c>
      <c r="H70" s="170">
        <v>14533.79</v>
      </c>
      <c r="I70" s="171">
        <f t="shared" si="7"/>
        <v>174405.48</v>
      </c>
      <c r="J70" s="172">
        <v>12</v>
      </c>
      <c r="K70" s="171">
        <f t="shared" si="12"/>
        <v>23891.161643835618</v>
      </c>
      <c r="L70" s="173"/>
      <c r="M70" s="171">
        <f t="shared" si="9"/>
        <v>198296.64164383564</v>
      </c>
    </row>
    <row r="71" spans="1:13" s="1" customFormat="1" ht="15">
      <c r="A71" s="167" t="s">
        <v>210</v>
      </c>
      <c r="B71" s="168"/>
      <c r="C71" s="167"/>
      <c r="D71" s="169">
        <v>8</v>
      </c>
      <c r="E71" s="169" t="s">
        <v>45</v>
      </c>
      <c r="F71" s="169" t="s">
        <v>20</v>
      </c>
      <c r="G71" s="169">
        <v>1</v>
      </c>
      <c r="H71" s="170">
        <f t="shared" si="8"/>
        <v>14533.785000000002</v>
      </c>
      <c r="I71" s="171">
        <f t="shared" si="7"/>
        <v>101736.49500000001</v>
      </c>
      <c r="J71" s="172">
        <v>7</v>
      </c>
      <c r="K71" s="171">
        <f t="shared" si="12"/>
        <v>13936.506164383562</v>
      </c>
      <c r="L71" s="173"/>
      <c r="M71" s="171">
        <f t="shared" si="9"/>
        <v>115673.00116438358</v>
      </c>
    </row>
    <row r="72" spans="1:13" s="1" customFormat="1" ht="15">
      <c r="A72" s="167" t="s">
        <v>210</v>
      </c>
      <c r="B72" s="168"/>
      <c r="C72" s="167"/>
      <c r="D72" s="169">
        <v>8</v>
      </c>
      <c r="E72" s="169" t="s">
        <v>45</v>
      </c>
      <c r="F72" s="169" t="s">
        <v>20</v>
      </c>
      <c r="G72" s="169">
        <v>1</v>
      </c>
      <c r="H72" s="170">
        <f t="shared" si="8"/>
        <v>14533.785000000002</v>
      </c>
      <c r="I72" s="171">
        <f t="shared" si="7"/>
        <v>101736.49500000001</v>
      </c>
      <c r="J72" s="172">
        <v>7</v>
      </c>
      <c r="K72" s="171">
        <f t="shared" si="12"/>
        <v>13936.506164383562</v>
      </c>
      <c r="L72" s="173"/>
      <c r="M72" s="171">
        <f t="shared" si="9"/>
        <v>115673.00116438358</v>
      </c>
    </row>
    <row r="73" spans="1:13" s="1" customFormat="1" ht="15">
      <c r="A73" s="167" t="s">
        <v>210</v>
      </c>
      <c r="B73" s="168"/>
      <c r="C73" s="167"/>
      <c r="D73" s="169">
        <v>8</v>
      </c>
      <c r="E73" s="169" t="s">
        <v>45</v>
      </c>
      <c r="F73" s="169" t="s">
        <v>20</v>
      </c>
      <c r="G73" s="169">
        <v>1</v>
      </c>
      <c r="H73" s="170">
        <f t="shared" si="8"/>
        <v>14533.785000000002</v>
      </c>
      <c r="I73" s="171">
        <f t="shared" si="7"/>
        <v>174405.42</v>
      </c>
      <c r="J73" s="172">
        <v>12</v>
      </c>
      <c r="K73" s="171">
        <f t="shared" si="12"/>
        <v>23891.153424657536</v>
      </c>
      <c r="L73" s="173"/>
      <c r="M73" s="171">
        <f t="shared" si="9"/>
        <v>198296.57342465754</v>
      </c>
    </row>
    <row r="74" spans="1:13" s="1" customFormat="1" ht="15">
      <c r="A74" s="167" t="s">
        <v>210</v>
      </c>
      <c r="B74" s="168"/>
      <c r="C74" s="167"/>
      <c r="D74" s="169">
        <v>8</v>
      </c>
      <c r="E74" s="169" t="s">
        <v>45</v>
      </c>
      <c r="F74" s="169" t="s">
        <v>20</v>
      </c>
      <c r="G74" s="169">
        <v>1</v>
      </c>
      <c r="H74" s="170">
        <f t="shared" si="8"/>
        <v>14533.785000000002</v>
      </c>
      <c r="I74" s="171">
        <f t="shared" si="7"/>
        <v>174405.42</v>
      </c>
      <c r="J74" s="172">
        <v>12</v>
      </c>
      <c r="K74" s="171">
        <f t="shared" si="12"/>
        <v>23891.153424657536</v>
      </c>
      <c r="L74" s="173"/>
      <c r="M74" s="171">
        <f t="shared" si="9"/>
        <v>198296.57342465754</v>
      </c>
    </row>
    <row r="75" spans="1:13" s="1" customFormat="1" ht="15">
      <c r="A75" s="167" t="s">
        <v>210</v>
      </c>
      <c r="B75" s="168"/>
      <c r="C75" s="167"/>
      <c r="D75" s="169">
        <v>8</v>
      </c>
      <c r="E75" s="169" t="s">
        <v>45</v>
      </c>
      <c r="F75" s="169" t="s">
        <v>20</v>
      </c>
      <c r="G75" s="169">
        <v>1</v>
      </c>
      <c r="H75" s="170">
        <f t="shared" si="8"/>
        <v>14533.785000000002</v>
      </c>
      <c r="I75" s="171">
        <f t="shared" si="7"/>
        <v>145337.85</v>
      </c>
      <c r="J75" s="172">
        <v>10</v>
      </c>
      <c r="K75" s="171">
        <f t="shared" si="12"/>
        <v>19909.294520547945</v>
      </c>
      <c r="L75" s="173"/>
      <c r="M75" s="171">
        <f t="shared" si="9"/>
        <v>165247.14452054794</v>
      </c>
    </row>
    <row r="76" spans="1:13" s="1" customFormat="1" ht="15">
      <c r="A76" s="167" t="s">
        <v>210</v>
      </c>
      <c r="B76" s="168"/>
      <c r="C76" s="167"/>
      <c r="D76" s="169">
        <v>8</v>
      </c>
      <c r="E76" s="169" t="s">
        <v>45</v>
      </c>
      <c r="F76" s="169" t="s">
        <v>20</v>
      </c>
      <c r="G76" s="169">
        <v>1</v>
      </c>
      <c r="H76" s="170">
        <f t="shared" si="8"/>
        <v>14533.785000000002</v>
      </c>
      <c r="I76" s="171">
        <f t="shared" si="7"/>
        <v>145337.85</v>
      </c>
      <c r="J76" s="172">
        <v>10</v>
      </c>
      <c r="K76" s="171">
        <f t="shared" si="12"/>
        <v>19909.294520547945</v>
      </c>
      <c r="L76" s="173"/>
      <c r="M76" s="171">
        <f t="shared" si="9"/>
        <v>165247.14452054794</v>
      </c>
    </row>
    <row r="77" spans="1:13" s="1" customFormat="1" ht="15">
      <c r="A77" s="167" t="s">
        <v>210</v>
      </c>
      <c r="B77" s="168"/>
      <c r="C77" s="167"/>
      <c r="D77" s="169">
        <v>8</v>
      </c>
      <c r="E77" s="169" t="s">
        <v>45</v>
      </c>
      <c r="F77" s="169" t="s">
        <v>20</v>
      </c>
      <c r="G77" s="169">
        <v>1</v>
      </c>
      <c r="H77" s="170">
        <f t="shared" si="8"/>
        <v>14533.785000000002</v>
      </c>
      <c r="I77" s="171">
        <f t="shared" si="7"/>
        <v>174405.42</v>
      </c>
      <c r="J77" s="172">
        <v>12</v>
      </c>
      <c r="K77" s="171">
        <f t="shared" si="12"/>
        <v>23891.153424657536</v>
      </c>
      <c r="L77" s="173"/>
      <c r="M77" s="171">
        <f t="shared" si="9"/>
        <v>198296.57342465754</v>
      </c>
    </row>
    <row r="78" spans="1:13" s="1" customFormat="1" ht="15">
      <c r="A78" s="167" t="s">
        <v>210</v>
      </c>
      <c r="B78" s="168"/>
      <c r="C78" s="167"/>
      <c r="D78" s="169">
        <v>8</v>
      </c>
      <c r="E78" s="169" t="s">
        <v>45</v>
      </c>
      <c r="F78" s="169" t="s">
        <v>20</v>
      </c>
      <c r="G78" s="169">
        <v>1</v>
      </c>
      <c r="H78" s="170">
        <f t="shared" si="8"/>
        <v>14533.785000000002</v>
      </c>
      <c r="I78" s="171">
        <f t="shared" si="7"/>
        <v>174405.42</v>
      </c>
      <c r="J78" s="172">
        <v>12</v>
      </c>
      <c r="K78" s="171">
        <f t="shared" si="12"/>
        <v>23891.153424657536</v>
      </c>
      <c r="L78" s="173"/>
      <c r="M78" s="171">
        <f t="shared" si="9"/>
        <v>198296.57342465754</v>
      </c>
    </row>
    <row r="79" spans="1:13" s="1" customFormat="1" ht="15">
      <c r="A79" s="167" t="s">
        <v>210</v>
      </c>
      <c r="B79" s="168"/>
      <c r="C79" s="167"/>
      <c r="D79" s="169">
        <v>8</v>
      </c>
      <c r="E79" s="169" t="s">
        <v>45</v>
      </c>
      <c r="F79" s="169" t="s">
        <v>20</v>
      </c>
      <c r="G79" s="169">
        <v>1</v>
      </c>
      <c r="H79" s="170">
        <f t="shared" si="8"/>
        <v>14533.785000000002</v>
      </c>
      <c r="I79" s="171">
        <f t="shared" si="7"/>
        <v>174405.42</v>
      </c>
      <c r="J79" s="172">
        <v>12</v>
      </c>
      <c r="K79" s="171">
        <f t="shared" si="12"/>
        <v>23891.153424657536</v>
      </c>
      <c r="L79" s="173"/>
      <c r="M79" s="171">
        <f t="shared" si="9"/>
        <v>198296.57342465754</v>
      </c>
    </row>
    <row r="80" spans="1:13" s="1" customFormat="1" ht="15">
      <c r="A80" s="167" t="s">
        <v>210</v>
      </c>
      <c r="B80" s="168"/>
      <c r="C80" s="167"/>
      <c r="D80" s="169">
        <v>8</v>
      </c>
      <c r="E80" s="169" t="s">
        <v>45</v>
      </c>
      <c r="F80" s="169" t="s">
        <v>20</v>
      </c>
      <c r="G80" s="169">
        <v>1</v>
      </c>
      <c r="H80" s="170">
        <f t="shared" si="8"/>
        <v>14533.785000000002</v>
      </c>
      <c r="I80" s="171">
        <f t="shared" si="7"/>
        <v>174405.42</v>
      </c>
      <c r="J80" s="172">
        <v>12</v>
      </c>
      <c r="K80" s="171">
        <f t="shared" si="12"/>
        <v>23891.153424657536</v>
      </c>
      <c r="L80" s="173"/>
      <c r="M80" s="171">
        <f t="shared" si="9"/>
        <v>198296.57342465754</v>
      </c>
    </row>
    <row r="81" spans="1:13" s="1" customFormat="1" ht="15">
      <c r="A81" s="167" t="s">
        <v>210</v>
      </c>
      <c r="B81" s="168"/>
      <c r="C81" s="167"/>
      <c r="D81" s="169">
        <v>8</v>
      </c>
      <c r="E81" s="169" t="s">
        <v>45</v>
      </c>
      <c r="F81" s="169" t="s">
        <v>20</v>
      </c>
      <c r="G81" s="169">
        <v>1</v>
      </c>
      <c r="H81" s="170">
        <f t="shared" si="8"/>
        <v>14533.785000000002</v>
      </c>
      <c r="I81" s="171">
        <f t="shared" si="7"/>
        <v>174405.42</v>
      </c>
      <c r="J81" s="172">
        <v>12</v>
      </c>
      <c r="K81" s="171">
        <f t="shared" si="12"/>
        <v>23891.153424657536</v>
      </c>
      <c r="L81" s="173"/>
      <c r="M81" s="171">
        <f t="shared" si="9"/>
        <v>198296.57342465754</v>
      </c>
    </row>
    <row r="82" spans="1:14" s="1" customFormat="1" ht="15">
      <c r="A82" s="167" t="s">
        <v>210</v>
      </c>
      <c r="B82" s="168"/>
      <c r="C82" s="167"/>
      <c r="D82" s="169">
        <v>8</v>
      </c>
      <c r="E82" s="169" t="s">
        <v>45</v>
      </c>
      <c r="F82" s="169" t="s">
        <v>20</v>
      </c>
      <c r="G82" s="169">
        <v>1</v>
      </c>
      <c r="H82" s="170">
        <f t="shared" si="8"/>
        <v>14533.785000000002</v>
      </c>
      <c r="I82" s="171">
        <f t="shared" si="7"/>
        <v>174405.42</v>
      </c>
      <c r="J82" s="172">
        <v>12</v>
      </c>
      <c r="K82" s="171">
        <f t="shared" si="12"/>
        <v>23891.153424657536</v>
      </c>
      <c r="L82" s="173"/>
      <c r="M82" s="171">
        <f t="shared" si="9"/>
        <v>198296.57342465754</v>
      </c>
      <c r="N82" s="1" t="s">
        <v>91</v>
      </c>
    </row>
    <row r="83" spans="1:13" ht="15">
      <c r="A83" s="167" t="s">
        <v>210</v>
      </c>
      <c r="B83" s="168"/>
      <c r="C83" s="167"/>
      <c r="D83" s="169">
        <v>8</v>
      </c>
      <c r="E83" s="169" t="s">
        <v>45</v>
      </c>
      <c r="F83" s="169" t="s">
        <v>20</v>
      </c>
      <c r="G83" s="169">
        <v>1</v>
      </c>
      <c r="H83" s="170">
        <f t="shared" si="8"/>
        <v>14533.785000000002</v>
      </c>
      <c r="I83" s="171">
        <f t="shared" si="7"/>
        <v>174405.42</v>
      </c>
      <c r="J83" s="172">
        <v>12</v>
      </c>
      <c r="K83" s="171">
        <f t="shared" si="12"/>
        <v>23891.153424657536</v>
      </c>
      <c r="L83" s="173"/>
      <c r="M83" s="171">
        <f t="shared" si="9"/>
        <v>198296.57342465754</v>
      </c>
    </row>
    <row r="84" spans="1:13" ht="15">
      <c r="A84" s="167" t="s">
        <v>210</v>
      </c>
      <c r="B84" s="168"/>
      <c r="C84" s="167"/>
      <c r="D84" s="169">
        <v>8</v>
      </c>
      <c r="E84" s="169" t="s">
        <v>45</v>
      </c>
      <c r="F84" s="169" t="s">
        <v>20</v>
      </c>
      <c r="G84" s="169">
        <v>1</v>
      </c>
      <c r="H84" s="170">
        <f t="shared" si="8"/>
        <v>14533.785000000002</v>
      </c>
      <c r="I84" s="171">
        <f t="shared" si="7"/>
        <v>174405.42</v>
      </c>
      <c r="J84" s="172">
        <v>12</v>
      </c>
      <c r="K84" s="171">
        <f t="shared" si="12"/>
        <v>23891.153424657536</v>
      </c>
      <c r="L84" s="173"/>
      <c r="M84" s="171">
        <f t="shared" si="9"/>
        <v>198296.57342465754</v>
      </c>
    </row>
    <row r="85" spans="1:13" s="1" customFormat="1" ht="15">
      <c r="A85" s="167" t="s">
        <v>210</v>
      </c>
      <c r="B85" s="168"/>
      <c r="C85" s="167"/>
      <c r="D85" s="169">
        <v>8</v>
      </c>
      <c r="E85" s="169" t="s">
        <v>45</v>
      </c>
      <c r="F85" s="169" t="s">
        <v>20</v>
      </c>
      <c r="G85" s="169">
        <v>1</v>
      </c>
      <c r="H85" s="170">
        <f t="shared" si="8"/>
        <v>14533.785000000002</v>
      </c>
      <c r="I85" s="171">
        <f t="shared" si="7"/>
        <v>174405.42</v>
      </c>
      <c r="J85" s="172">
        <v>12</v>
      </c>
      <c r="K85" s="171">
        <f t="shared" si="12"/>
        <v>23891.153424657536</v>
      </c>
      <c r="L85" s="173"/>
      <c r="M85" s="171">
        <f t="shared" si="9"/>
        <v>198296.57342465754</v>
      </c>
    </row>
    <row r="86" spans="1:13" ht="15">
      <c r="A86" s="167" t="s">
        <v>210</v>
      </c>
      <c r="B86" s="168"/>
      <c r="C86" s="167"/>
      <c r="D86" s="169">
        <v>8</v>
      </c>
      <c r="E86" s="169" t="s">
        <v>45</v>
      </c>
      <c r="F86" s="169" t="s">
        <v>20</v>
      </c>
      <c r="G86" s="169">
        <v>1</v>
      </c>
      <c r="H86" s="170">
        <f t="shared" si="8"/>
        <v>14533.785000000002</v>
      </c>
      <c r="I86" s="171">
        <f t="shared" si="7"/>
        <v>174405.42</v>
      </c>
      <c r="J86" s="172">
        <v>12</v>
      </c>
      <c r="K86" s="171">
        <f t="shared" si="12"/>
        <v>23891.153424657536</v>
      </c>
      <c r="L86" s="173"/>
      <c r="M86" s="171">
        <f t="shared" si="9"/>
        <v>198296.57342465754</v>
      </c>
    </row>
    <row r="87" spans="1:13" s="1" customFormat="1" ht="15">
      <c r="A87" s="167" t="s">
        <v>210</v>
      </c>
      <c r="B87" s="168"/>
      <c r="C87" s="167"/>
      <c r="D87" s="169">
        <v>8</v>
      </c>
      <c r="E87" s="169" t="s">
        <v>45</v>
      </c>
      <c r="F87" s="169" t="s">
        <v>20</v>
      </c>
      <c r="G87" s="169">
        <v>1</v>
      </c>
      <c r="H87" s="170">
        <f t="shared" si="8"/>
        <v>14533.785000000002</v>
      </c>
      <c r="I87" s="171">
        <f t="shared" si="7"/>
        <v>174405.42</v>
      </c>
      <c r="J87" s="172">
        <v>12</v>
      </c>
      <c r="K87" s="171">
        <f t="shared" si="12"/>
        <v>23891.153424657536</v>
      </c>
      <c r="L87" s="173"/>
      <c r="M87" s="171">
        <f t="shared" si="9"/>
        <v>198296.57342465754</v>
      </c>
    </row>
    <row r="88" spans="1:13" ht="15">
      <c r="A88" s="167" t="s">
        <v>210</v>
      </c>
      <c r="B88" s="168"/>
      <c r="C88" s="167"/>
      <c r="D88" s="169">
        <v>8</v>
      </c>
      <c r="E88" s="169" t="s">
        <v>45</v>
      </c>
      <c r="F88" s="169" t="s">
        <v>20</v>
      </c>
      <c r="G88" s="169">
        <v>1</v>
      </c>
      <c r="H88" s="170">
        <f t="shared" si="8"/>
        <v>14533.785000000002</v>
      </c>
      <c r="I88" s="171">
        <f t="shared" si="7"/>
        <v>174405.42</v>
      </c>
      <c r="J88" s="172">
        <v>12</v>
      </c>
      <c r="K88" s="171">
        <f t="shared" si="12"/>
        <v>23891.153424657536</v>
      </c>
      <c r="L88" s="173"/>
      <c r="M88" s="171">
        <f t="shared" si="9"/>
        <v>198296.57342465754</v>
      </c>
    </row>
    <row r="89" spans="1:13" ht="15">
      <c r="A89" s="167" t="s">
        <v>210</v>
      </c>
      <c r="B89" s="168"/>
      <c r="C89" s="167"/>
      <c r="D89" s="169">
        <v>8</v>
      </c>
      <c r="E89" s="169" t="s">
        <v>45</v>
      </c>
      <c r="F89" s="169" t="s">
        <v>20</v>
      </c>
      <c r="G89" s="169">
        <v>1</v>
      </c>
      <c r="H89" s="170">
        <f>13841.7*1.05</f>
        <v>14533.785000000002</v>
      </c>
      <c r="I89" s="171">
        <f aca="true" t="shared" si="13" ref="I89:I138">+H89*J89</f>
        <v>174405.42</v>
      </c>
      <c r="J89" s="172">
        <v>12</v>
      </c>
      <c r="K89" s="171">
        <f t="shared" si="12"/>
        <v>23891.153424657536</v>
      </c>
      <c r="L89" s="173"/>
      <c r="M89" s="171">
        <f aca="true" t="shared" si="14" ref="M89:M95">+I89+K89</f>
        <v>198296.57342465754</v>
      </c>
    </row>
    <row r="90" spans="1:13" ht="15">
      <c r="A90" s="167" t="s">
        <v>210</v>
      </c>
      <c r="B90" s="168"/>
      <c r="C90" s="167"/>
      <c r="D90" s="169">
        <v>8</v>
      </c>
      <c r="E90" s="169" t="s">
        <v>45</v>
      </c>
      <c r="F90" s="169" t="s">
        <v>20</v>
      </c>
      <c r="G90" s="169">
        <v>1</v>
      </c>
      <c r="H90" s="170">
        <f aca="true" t="shared" si="15" ref="H90:H96">13841.7*1.05</f>
        <v>14533.785000000002</v>
      </c>
      <c r="I90" s="171">
        <f t="shared" si="13"/>
        <v>174405.42</v>
      </c>
      <c r="J90" s="172">
        <v>12</v>
      </c>
      <c r="K90" s="171">
        <f t="shared" si="12"/>
        <v>23891.153424657536</v>
      </c>
      <c r="L90" s="173"/>
      <c r="M90" s="171">
        <f t="shared" si="14"/>
        <v>198296.57342465754</v>
      </c>
    </row>
    <row r="91" spans="1:13" ht="15">
      <c r="A91" s="167" t="s">
        <v>210</v>
      </c>
      <c r="B91" s="168"/>
      <c r="C91" s="167"/>
      <c r="D91" s="169">
        <v>8</v>
      </c>
      <c r="E91" s="169" t="s">
        <v>45</v>
      </c>
      <c r="F91" s="169" t="s">
        <v>20</v>
      </c>
      <c r="G91" s="169">
        <v>1</v>
      </c>
      <c r="H91" s="170">
        <f t="shared" si="15"/>
        <v>14533.785000000002</v>
      </c>
      <c r="I91" s="171">
        <f t="shared" si="13"/>
        <v>174405.42</v>
      </c>
      <c r="J91" s="172">
        <v>12</v>
      </c>
      <c r="K91" s="171">
        <f t="shared" si="12"/>
        <v>23891.153424657536</v>
      </c>
      <c r="L91" s="173"/>
      <c r="M91" s="171">
        <f t="shared" si="14"/>
        <v>198296.57342465754</v>
      </c>
    </row>
    <row r="92" spans="1:13" ht="15">
      <c r="A92" s="167" t="s">
        <v>210</v>
      </c>
      <c r="B92" s="168"/>
      <c r="C92" s="167"/>
      <c r="D92" s="169">
        <v>8</v>
      </c>
      <c r="E92" s="169" t="s">
        <v>45</v>
      </c>
      <c r="F92" s="169" t="s">
        <v>20</v>
      </c>
      <c r="G92" s="169">
        <v>1</v>
      </c>
      <c r="H92" s="170">
        <f t="shared" si="15"/>
        <v>14533.785000000002</v>
      </c>
      <c r="I92" s="171">
        <f t="shared" si="13"/>
        <v>174405.42</v>
      </c>
      <c r="J92" s="172">
        <v>12</v>
      </c>
      <c r="K92" s="171">
        <f t="shared" si="12"/>
        <v>23891.153424657536</v>
      </c>
      <c r="L92" s="173"/>
      <c r="M92" s="171">
        <f t="shared" si="14"/>
        <v>198296.57342465754</v>
      </c>
    </row>
    <row r="93" spans="1:13" ht="15">
      <c r="A93" s="167" t="s">
        <v>210</v>
      </c>
      <c r="B93" s="168"/>
      <c r="C93" s="167"/>
      <c r="D93" s="169">
        <v>8</v>
      </c>
      <c r="E93" s="169" t="s">
        <v>45</v>
      </c>
      <c r="F93" s="169" t="s">
        <v>20</v>
      </c>
      <c r="G93" s="169">
        <v>1</v>
      </c>
      <c r="H93" s="170">
        <f t="shared" si="15"/>
        <v>14533.785000000002</v>
      </c>
      <c r="I93" s="171">
        <f t="shared" si="13"/>
        <v>174405.42</v>
      </c>
      <c r="J93" s="172">
        <v>12</v>
      </c>
      <c r="K93" s="171">
        <f t="shared" si="12"/>
        <v>23891.153424657536</v>
      </c>
      <c r="L93" s="173"/>
      <c r="M93" s="171">
        <f t="shared" si="14"/>
        <v>198296.57342465754</v>
      </c>
    </row>
    <row r="94" spans="1:13" ht="15">
      <c r="A94" s="167" t="s">
        <v>210</v>
      </c>
      <c r="B94" s="168"/>
      <c r="C94" s="167"/>
      <c r="D94" s="169">
        <v>8</v>
      </c>
      <c r="E94" s="169" t="s">
        <v>45</v>
      </c>
      <c r="F94" s="169" t="s">
        <v>20</v>
      </c>
      <c r="G94" s="169">
        <v>1</v>
      </c>
      <c r="H94" s="170">
        <f t="shared" si="15"/>
        <v>14533.785000000002</v>
      </c>
      <c r="I94" s="171">
        <f t="shared" si="13"/>
        <v>159871.635</v>
      </c>
      <c r="J94" s="172">
        <v>11</v>
      </c>
      <c r="K94" s="171">
        <f t="shared" si="12"/>
        <v>21900.22397260274</v>
      </c>
      <c r="L94" s="173"/>
      <c r="M94" s="171">
        <f t="shared" si="14"/>
        <v>181771.85897260276</v>
      </c>
    </row>
    <row r="95" spans="1:13" ht="15">
      <c r="A95" s="167" t="s">
        <v>210</v>
      </c>
      <c r="B95" s="168"/>
      <c r="C95" s="167"/>
      <c r="D95" s="169">
        <v>8</v>
      </c>
      <c r="E95" s="169" t="s">
        <v>45</v>
      </c>
      <c r="F95" s="169" t="s">
        <v>20</v>
      </c>
      <c r="G95" s="169">
        <v>1</v>
      </c>
      <c r="H95" s="170">
        <f t="shared" si="15"/>
        <v>14533.785000000002</v>
      </c>
      <c r="I95" s="171">
        <f t="shared" si="13"/>
        <v>145337.85</v>
      </c>
      <c r="J95" s="172">
        <v>10</v>
      </c>
      <c r="K95" s="171">
        <f t="shared" si="12"/>
        <v>19909.294520547945</v>
      </c>
      <c r="L95" s="173"/>
      <c r="M95" s="171">
        <f t="shared" si="14"/>
        <v>165247.14452054794</v>
      </c>
    </row>
    <row r="96" spans="1:13" ht="15">
      <c r="A96" s="167" t="s">
        <v>210</v>
      </c>
      <c r="B96" s="168"/>
      <c r="C96" s="167"/>
      <c r="D96" s="169">
        <v>8</v>
      </c>
      <c r="E96" s="169" t="s">
        <v>45</v>
      </c>
      <c r="F96" s="169" t="s">
        <v>20</v>
      </c>
      <c r="G96" s="169">
        <v>1</v>
      </c>
      <c r="H96" s="170">
        <f t="shared" si="15"/>
        <v>14533.785000000002</v>
      </c>
      <c r="I96" s="171">
        <f>+H96*J96</f>
        <v>72668.925</v>
      </c>
      <c r="J96" s="172">
        <v>5</v>
      </c>
      <c r="K96" s="171">
        <f>+I96/365*50</f>
        <v>9954.647260273972</v>
      </c>
      <c r="L96" s="173"/>
      <c r="M96" s="171">
        <f>+I96+K96</f>
        <v>82623.57226027397</v>
      </c>
    </row>
    <row r="97" spans="1:13" s="1" customFormat="1" ht="15">
      <c r="A97" s="167" t="s">
        <v>210</v>
      </c>
      <c r="B97" s="168"/>
      <c r="C97" s="167"/>
      <c r="D97" s="169">
        <v>8</v>
      </c>
      <c r="E97" s="169" t="s">
        <v>45</v>
      </c>
      <c r="F97" s="169" t="s">
        <v>20</v>
      </c>
      <c r="G97" s="169">
        <v>1</v>
      </c>
      <c r="H97" s="170">
        <f aca="true" t="shared" si="16" ref="H97:H116">13841.7*1.05</f>
        <v>14533.785000000002</v>
      </c>
      <c r="I97" s="171">
        <f t="shared" si="13"/>
        <v>174405.42</v>
      </c>
      <c r="J97" s="172">
        <v>12</v>
      </c>
      <c r="K97" s="171">
        <f aca="true" t="shared" si="17" ref="K97:K108">+I97/365*50</f>
        <v>23891.153424657536</v>
      </c>
      <c r="L97" s="173"/>
      <c r="M97" s="171">
        <f aca="true" t="shared" si="18" ref="M97:M108">+I97+K97</f>
        <v>198296.57342465754</v>
      </c>
    </row>
    <row r="98" spans="1:13" s="1" customFormat="1" ht="15">
      <c r="A98" s="167" t="s">
        <v>210</v>
      </c>
      <c r="B98" s="168"/>
      <c r="C98" s="167"/>
      <c r="D98" s="169">
        <v>8</v>
      </c>
      <c r="E98" s="169" t="s">
        <v>45</v>
      </c>
      <c r="F98" s="169" t="s">
        <v>20</v>
      </c>
      <c r="G98" s="169">
        <v>1</v>
      </c>
      <c r="H98" s="170">
        <f t="shared" si="16"/>
        <v>14533.785000000002</v>
      </c>
      <c r="I98" s="171">
        <f t="shared" si="13"/>
        <v>174405.42</v>
      </c>
      <c r="J98" s="172">
        <v>12</v>
      </c>
      <c r="K98" s="171">
        <f t="shared" si="17"/>
        <v>23891.153424657536</v>
      </c>
      <c r="L98" s="173"/>
      <c r="M98" s="171">
        <f t="shared" si="18"/>
        <v>198296.57342465754</v>
      </c>
    </row>
    <row r="99" spans="1:13" s="1" customFormat="1" ht="15">
      <c r="A99" s="167" t="s">
        <v>210</v>
      </c>
      <c r="B99" s="168"/>
      <c r="C99" s="167"/>
      <c r="D99" s="169">
        <v>8</v>
      </c>
      <c r="E99" s="169" t="s">
        <v>45</v>
      </c>
      <c r="F99" s="169" t="s">
        <v>20</v>
      </c>
      <c r="G99" s="169">
        <v>1</v>
      </c>
      <c r="H99" s="170">
        <f t="shared" si="16"/>
        <v>14533.785000000002</v>
      </c>
      <c r="I99" s="171">
        <f t="shared" si="13"/>
        <v>174405.42</v>
      </c>
      <c r="J99" s="172">
        <v>12</v>
      </c>
      <c r="K99" s="171">
        <f t="shared" si="17"/>
        <v>23891.153424657536</v>
      </c>
      <c r="L99" s="173"/>
      <c r="M99" s="171">
        <f t="shared" si="18"/>
        <v>198296.57342465754</v>
      </c>
    </row>
    <row r="100" spans="1:13" s="1" customFormat="1" ht="15">
      <c r="A100" s="167" t="s">
        <v>210</v>
      </c>
      <c r="B100" s="168"/>
      <c r="C100" s="167"/>
      <c r="D100" s="169">
        <v>8</v>
      </c>
      <c r="E100" s="169" t="s">
        <v>45</v>
      </c>
      <c r="F100" s="169" t="s">
        <v>20</v>
      </c>
      <c r="G100" s="169">
        <v>1</v>
      </c>
      <c r="H100" s="170">
        <f t="shared" si="16"/>
        <v>14533.785000000002</v>
      </c>
      <c r="I100" s="171">
        <f t="shared" si="13"/>
        <v>174405.42</v>
      </c>
      <c r="J100" s="172">
        <v>12</v>
      </c>
      <c r="K100" s="171">
        <f t="shared" si="17"/>
        <v>23891.153424657536</v>
      </c>
      <c r="L100" s="173"/>
      <c r="M100" s="171">
        <f t="shared" si="18"/>
        <v>198296.57342465754</v>
      </c>
    </row>
    <row r="101" spans="1:13" s="1" customFormat="1" ht="15">
      <c r="A101" s="167" t="s">
        <v>213</v>
      </c>
      <c r="B101" s="168"/>
      <c r="C101" s="167"/>
      <c r="D101" s="169">
        <v>8</v>
      </c>
      <c r="E101" s="169" t="s">
        <v>45</v>
      </c>
      <c r="F101" s="169" t="s">
        <v>20</v>
      </c>
      <c r="G101" s="169">
        <v>1</v>
      </c>
      <c r="H101" s="170">
        <f>16610.35*1.05</f>
        <v>17440.8675</v>
      </c>
      <c r="I101" s="171">
        <f t="shared" si="13"/>
        <v>209290.41</v>
      </c>
      <c r="J101" s="172">
        <v>12</v>
      </c>
      <c r="K101" s="171">
        <f t="shared" si="17"/>
        <v>28669.919178082193</v>
      </c>
      <c r="L101" s="173"/>
      <c r="M101" s="171">
        <f t="shared" si="18"/>
        <v>237960.3291780822</v>
      </c>
    </row>
    <row r="102" spans="1:13" s="1" customFormat="1" ht="15">
      <c r="A102" s="167" t="s">
        <v>210</v>
      </c>
      <c r="B102" s="168"/>
      <c r="C102" s="167"/>
      <c r="D102" s="169">
        <v>8</v>
      </c>
      <c r="E102" s="169" t="s">
        <v>45</v>
      </c>
      <c r="F102" s="169" t="s">
        <v>20</v>
      </c>
      <c r="G102" s="169">
        <v>1</v>
      </c>
      <c r="H102" s="170">
        <f t="shared" si="16"/>
        <v>14533.785000000002</v>
      </c>
      <c r="I102" s="171">
        <f t="shared" si="13"/>
        <v>174405.42</v>
      </c>
      <c r="J102" s="172">
        <v>12</v>
      </c>
      <c r="K102" s="171">
        <f t="shared" si="17"/>
        <v>23891.153424657536</v>
      </c>
      <c r="L102" s="173"/>
      <c r="M102" s="171">
        <f t="shared" si="18"/>
        <v>198296.57342465754</v>
      </c>
    </row>
    <row r="103" spans="1:13" s="1" customFormat="1" ht="15">
      <c r="A103" s="167" t="s">
        <v>210</v>
      </c>
      <c r="B103" s="168"/>
      <c r="C103" s="167"/>
      <c r="D103" s="169">
        <v>8</v>
      </c>
      <c r="E103" s="169" t="s">
        <v>45</v>
      </c>
      <c r="F103" s="169" t="s">
        <v>20</v>
      </c>
      <c r="G103" s="169">
        <v>1</v>
      </c>
      <c r="H103" s="170">
        <f t="shared" si="16"/>
        <v>14533.785000000002</v>
      </c>
      <c r="I103" s="171">
        <f t="shared" si="13"/>
        <v>174405.42</v>
      </c>
      <c r="J103" s="172">
        <v>12</v>
      </c>
      <c r="K103" s="171">
        <f t="shared" si="17"/>
        <v>23891.153424657536</v>
      </c>
      <c r="L103" s="173"/>
      <c r="M103" s="171">
        <f t="shared" si="18"/>
        <v>198296.57342465754</v>
      </c>
    </row>
    <row r="104" spans="1:13" s="1" customFormat="1" ht="15">
      <c r="A104" s="167" t="s">
        <v>210</v>
      </c>
      <c r="B104" s="168"/>
      <c r="C104" s="167"/>
      <c r="D104" s="169">
        <v>8</v>
      </c>
      <c r="E104" s="169" t="s">
        <v>45</v>
      </c>
      <c r="F104" s="169" t="s">
        <v>20</v>
      </c>
      <c r="G104" s="169">
        <v>1</v>
      </c>
      <c r="H104" s="170">
        <f t="shared" si="16"/>
        <v>14533.785000000002</v>
      </c>
      <c r="I104" s="171">
        <f t="shared" si="13"/>
        <v>174405.42</v>
      </c>
      <c r="J104" s="172">
        <v>12</v>
      </c>
      <c r="K104" s="171">
        <f t="shared" si="17"/>
        <v>23891.153424657536</v>
      </c>
      <c r="L104" s="173"/>
      <c r="M104" s="171">
        <f t="shared" si="18"/>
        <v>198296.57342465754</v>
      </c>
    </row>
    <row r="105" spans="1:13" s="1" customFormat="1" ht="15">
      <c r="A105" s="167" t="s">
        <v>210</v>
      </c>
      <c r="B105" s="168"/>
      <c r="C105" s="167"/>
      <c r="D105" s="169">
        <v>8</v>
      </c>
      <c r="E105" s="169" t="s">
        <v>45</v>
      </c>
      <c r="F105" s="169" t="s">
        <v>20</v>
      </c>
      <c r="G105" s="169">
        <v>1</v>
      </c>
      <c r="H105" s="170">
        <f t="shared" si="16"/>
        <v>14533.785000000002</v>
      </c>
      <c r="I105" s="171">
        <f t="shared" si="13"/>
        <v>174405.42</v>
      </c>
      <c r="J105" s="172">
        <v>12</v>
      </c>
      <c r="K105" s="171">
        <f t="shared" si="17"/>
        <v>23891.153424657536</v>
      </c>
      <c r="L105" s="173"/>
      <c r="M105" s="171">
        <f t="shared" si="18"/>
        <v>198296.57342465754</v>
      </c>
    </row>
    <row r="106" spans="1:13" s="1" customFormat="1" ht="15">
      <c r="A106" s="167" t="s">
        <v>210</v>
      </c>
      <c r="B106" s="168"/>
      <c r="C106" s="167"/>
      <c r="D106" s="169">
        <v>8</v>
      </c>
      <c r="E106" s="169" t="s">
        <v>45</v>
      </c>
      <c r="F106" s="169" t="s">
        <v>20</v>
      </c>
      <c r="G106" s="169">
        <v>1</v>
      </c>
      <c r="H106" s="170">
        <f t="shared" si="16"/>
        <v>14533.785000000002</v>
      </c>
      <c r="I106" s="171">
        <f t="shared" si="13"/>
        <v>174405.42</v>
      </c>
      <c r="J106" s="172">
        <v>12</v>
      </c>
      <c r="K106" s="171">
        <f t="shared" si="17"/>
        <v>23891.153424657536</v>
      </c>
      <c r="L106" s="173"/>
      <c r="M106" s="171">
        <f t="shared" si="18"/>
        <v>198296.57342465754</v>
      </c>
    </row>
    <row r="107" spans="1:13" s="1" customFormat="1" ht="15">
      <c r="A107" s="167" t="s">
        <v>210</v>
      </c>
      <c r="B107" s="168"/>
      <c r="C107" s="167"/>
      <c r="D107" s="169">
        <v>8</v>
      </c>
      <c r="E107" s="169" t="s">
        <v>45</v>
      </c>
      <c r="F107" s="169" t="s">
        <v>20</v>
      </c>
      <c r="G107" s="169">
        <v>1</v>
      </c>
      <c r="H107" s="170">
        <f t="shared" si="16"/>
        <v>14533.785000000002</v>
      </c>
      <c r="I107" s="171">
        <f t="shared" si="13"/>
        <v>174405.42</v>
      </c>
      <c r="J107" s="172">
        <v>12</v>
      </c>
      <c r="K107" s="171">
        <f t="shared" si="17"/>
        <v>23891.153424657536</v>
      </c>
      <c r="L107" s="173"/>
      <c r="M107" s="171">
        <f t="shared" si="18"/>
        <v>198296.57342465754</v>
      </c>
    </row>
    <row r="108" spans="1:13" s="1" customFormat="1" ht="15">
      <c r="A108" s="167" t="s">
        <v>210</v>
      </c>
      <c r="B108" s="168"/>
      <c r="C108" s="167"/>
      <c r="D108" s="169">
        <v>8</v>
      </c>
      <c r="E108" s="169" t="s">
        <v>45</v>
      </c>
      <c r="F108" s="169" t="s">
        <v>20</v>
      </c>
      <c r="G108" s="169">
        <v>1</v>
      </c>
      <c r="H108" s="170">
        <f t="shared" si="16"/>
        <v>14533.785000000002</v>
      </c>
      <c r="I108" s="171">
        <f t="shared" si="13"/>
        <v>72668.925</v>
      </c>
      <c r="J108" s="172">
        <v>5</v>
      </c>
      <c r="K108" s="171">
        <f t="shared" si="17"/>
        <v>9954.647260273972</v>
      </c>
      <c r="L108" s="173"/>
      <c r="M108" s="171">
        <f t="shared" si="18"/>
        <v>82623.57226027397</v>
      </c>
    </row>
    <row r="109" spans="1:13" s="1" customFormat="1" ht="15">
      <c r="A109" s="167" t="s">
        <v>210</v>
      </c>
      <c r="B109" s="168"/>
      <c r="C109" s="167"/>
      <c r="D109" s="169">
        <v>8</v>
      </c>
      <c r="E109" s="169" t="s">
        <v>45</v>
      </c>
      <c r="F109" s="169" t="s">
        <v>20</v>
      </c>
      <c r="G109" s="169">
        <v>1</v>
      </c>
      <c r="H109" s="170">
        <f t="shared" si="16"/>
        <v>14533.785000000002</v>
      </c>
      <c r="I109" s="171">
        <f t="shared" si="13"/>
        <v>174405.42</v>
      </c>
      <c r="J109" s="172">
        <v>12</v>
      </c>
      <c r="K109" s="171">
        <f aca="true" t="shared" si="19" ref="K109:K116">+I109/365*50</f>
        <v>23891.153424657536</v>
      </c>
      <c r="L109" s="173"/>
      <c r="M109" s="171">
        <f aca="true" t="shared" si="20" ref="M109:M139">+I109+K109</f>
        <v>198296.57342465754</v>
      </c>
    </row>
    <row r="110" spans="1:13" s="1" customFormat="1" ht="15">
      <c r="A110" s="167" t="s">
        <v>210</v>
      </c>
      <c r="B110" s="168"/>
      <c r="C110" s="167"/>
      <c r="D110" s="169">
        <v>8</v>
      </c>
      <c r="E110" s="169" t="s">
        <v>45</v>
      </c>
      <c r="F110" s="169" t="s">
        <v>20</v>
      </c>
      <c r="G110" s="169">
        <v>1</v>
      </c>
      <c r="H110" s="170">
        <f t="shared" si="16"/>
        <v>14533.785000000002</v>
      </c>
      <c r="I110" s="171">
        <f t="shared" si="13"/>
        <v>174405.42</v>
      </c>
      <c r="J110" s="172">
        <v>12</v>
      </c>
      <c r="K110" s="171">
        <f t="shared" si="19"/>
        <v>23891.153424657536</v>
      </c>
      <c r="L110" s="173"/>
      <c r="M110" s="171">
        <f t="shared" si="20"/>
        <v>198296.57342465754</v>
      </c>
    </row>
    <row r="111" spans="1:13" s="1" customFormat="1" ht="15">
      <c r="A111" s="167" t="s">
        <v>104</v>
      </c>
      <c r="B111" s="168"/>
      <c r="C111" s="167"/>
      <c r="D111" s="169">
        <v>8</v>
      </c>
      <c r="E111" s="169" t="s">
        <v>45</v>
      </c>
      <c r="F111" s="169" t="s">
        <v>20</v>
      </c>
      <c r="G111" s="169">
        <v>1</v>
      </c>
      <c r="H111" s="170">
        <v>14123.64</v>
      </c>
      <c r="I111" s="171">
        <f t="shared" si="13"/>
        <v>169483.68</v>
      </c>
      <c r="J111" s="172">
        <v>12</v>
      </c>
      <c r="K111" s="171">
        <f t="shared" si="19"/>
        <v>23216.942465753425</v>
      </c>
      <c r="L111" s="173"/>
      <c r="M111" s="171">
        <f t="shared" si="20"/>
        <v>192700.6224657534</v>
      </c>
    </row>
    <row r="112" spans="1:13" s="1" customFormat="1" ht="15">
      <c r="A112" s="167" t="s">
        <v>210</v>
      </c>
      <c r="B112" s="168"/>
      <c r="C112" s="167"/>
      <c r="D112" s="169">
        <v>8</v>
      </c>
      <c r="E112" s="169" t="s">
        <v>45</v>
      </c>
      <c r="F112" s="169" t="s">
        <v>20</v>
      </c>
      <c r="G112" s="169">
        <v>1</v>
      </c>
      <c r="H112" s="170">
        <f t="shared" si="16"/>
        <v>14533.785000000002</v>
      </c>
      <c r="I112" s="171">
        <f t="shared" si="13"/>
        <v>72668.925</v>
      </c>
      <c r="J112" s="172">
        <v>5</v>
      </c>
      <c r="K112" s="171">
        <f t="shared" si="19"/>
        <v>9954.647260273972</v>
      </c>
      <c r="L112" s="173"/>
      <c r="M112" s="171">
        <f t="shared" si="20"/>
        <v>82623.57226027397</v>
      </c>
    </row>
    <row r="113" spans="1:13" s="1" customFormat="1" ht="15">
      <c r="A113" s="167" t="s">
        <v>210</v>
      </c>
      <c r="B113" s="168"/>
      <c r="C113" s="167"/>
      <c r="D113" s="169">
        <v>8</v>
      </c>
      <c r="E113" s="169" t="s">
        <v>45</v>
      </c>
      <c r="F113" s="169" t="s">
        <v>20</v>
      </c>
      <c r="G113" s="169">
        <v>1</v>
      </c>
      <c r="H113" s="170">
        <f t="shared" si="16"/>
        <v>14533.785000000002</v>
      </c>
      <c r="I113" s="171">
        <f t="shared" si="13"/>
        <v>174405.42</v>
      </c>
      <c r="J113" s="172">
        <v>12</v>
      </c>
      <c r="K113" s="171">
        <f t="shared" si="19"/>
        <v>23891.153424657536</v>
      </c>
      <c r="L113" s="173"/>
      <c r="M113" s="171">
        <f t="shared" si="20"/>
        <v>198296.57342465754</v>
      </c>
    </row>
    <row r="114" spans="1:13" s="1" customFormat="1" ht="15">
      <c r="A114" s="167" t="s">
        <v>210</v>
      </c>
      <c r="B114" s="168"/>
      <c r="C114" s="167"/>
      <c r="D114" s="169">
        <v>8</v>
      </c>
      <c r="E114" s="169" t="s">
        <v>45</v>
      </c>
      <c r="F114" s="169" t="s">
        <v>20</v>
      </c>
      <c r="G114" s="169">
        <v>1</v>
      </c>
      <c r="H114" s="170">
        <f t="shared" si="16"/>
        <v>14533.785000000002</v>
      </c>
      <c r="I114" s="171">
        <f t="shared" si="13"/>
        <v>174405.42</v>
      </c>
      <c r="J114" s="172">
        <v>12</v>
      </c>
      <c r="K114" s="171">
        <f t="shared" si="19"/>
        <v>23891.153424657536</v>
      </c>
      <c r="L114" s="173"/>
      <c r="M114" s="171">
        <f t="shared" si="20"/>
        <v>198296.57342465754</v>
      </c>
    </row>
    <row r="115" spans="1:13" s="1" customFormat="1" ht="15">
      <c r="A115" s="167" t="s">
        <v>210</v>
      </c>
      <c r="B115" s="168"/>
      <c r="C115" s="167"/>
      <c r="D115" s="169">
        <v>8</v>
      </c>
      <c r="E115" s="169" t="s">
        <v>45</v>
      </c>
      <c r="F115" s="169" t="s">
        <v>20</v>
      </c>
      <c r="G115" s="169">
        <v>1</v>
      </c>
      <c r="H115" s="170">
        <f t="shared" si="16"/>
        <v>14533.785000000002</v>
      </c>
      <c r="I115" s="171">
        <f t="shared" si="13"/>
        <v>174405.42</v>
      </c>
      <c r="J115" s="172">
        <v>12</v>
      </c>
      <c r="K115" s="171">
        <f t="shared" si="19"/>
        <v>23891.153424657536</v>
      </c>
      <c r="L115" s="173"/>
      <c r="M115" s="171">
        <f t="shared" si="20"/>
        <v>198296.57342465754</v>
      </c>
    </row>
    <row r="116" spans="1:13" s="1" customFormat="1" ht="15">
      <c r="A116" s="167" t="s">
        <v>210</v>
      </c>
      <c r="B116" s="168"/>
      <c r="C116" s="167"/>
      <c r="D116" s="169">
        <v>8</v>
      </c>
      <c r="E116" s="169" t="s">
        <v>45</v>
      </c>
      <c r="F116" s="169" t="s">
        <v>20</v>
      </c>
      <c r="G116" s="169">
        <v>1</v>
      </c>
      <c r="H116" s="170">
        <f t="shared" si="16"/>
        <v>14533.785000000002</v>
      </c>
      <c r="I116" s="171">
        <f t="shared" si="13"/>
        <v>174405.42</v>
      </c>
      <c r="J116" s="172">
        <v>12</v>
      </c>
      <c r="K116" s="171">
        <f t="shared" si="19"/>
        <v>23891.153424657536</v>
      </c>
      <c r="L116" s="173"/>
      <c r="M116" s="171">
        <f t="shared" si="20"/>
        <v>198296.57342465754</v>
      </c>
    </row>
    <row r="117" spans="1:13" s="1" customFormat="1" ht="15">
      <c r="A117" s="167" t="s">
        <v>211</v>
      </c>
      <c r="B117" s="168"/>
      <c r="C117" s="167"/>
      <c r="D117" s="169">
        <v>8</v>
      </c>
      <c r="E117" s="169" t="s">
        <v>45</v>
      </c>
      <c r="F117" s="169" t="s">
        <v>20</v>
      </c>
      <c r="G117" s="169">
        <v>1</v>
      </c>
      <c r="H117" s="170">
        <f>23918.48*1.05</f>
        <v>25114.404000000002</v>
      </c>
      <c r="I117" s="171">
        <f t="shared" si="13"/>
        <v>301372.848</v>
      </c>
      <c r="J117" s="172">
        <v>12</v>
      </c>
      <c r="K117" s="171">
        <f aca="true" t="shared" si="21" ref="K117:K144">+I117/365*50</f>
        <v>41283.95178082192</v>
      </c>
      <c r="L117" s="173"/>
      <c r="M117" s="171">
        <f t="shared" si="20"/>
        <v>342656.7997808219</v>
      </c>
    </row>
    <row r="118" spans="1:13" s="1" customFormat="1" ht="15">
      <c r="A118" s="167" t="s">
        <v>211</v>
      </c>
      <c r="B118" s="168"/>
      <c r="C118" s="167"/>
      <c r="D118" s="169">
        <v>8</v>
      </c>
      <c r="E118" s="169" t="s">
        <v>45</v>
      </c>
      <c r="F118" s="169" t="s">
        <v>20</v>
      </c>
      <c r="G118" s="169">
        <v>1</v>
      </c>
      <c r="H118" s="170">
        <f>23918.48*1.05</f>
        <v>25114.404000000002</v>
      </c>
      <c r="I118" s="171">
        <f t="shared" si="13"/>
        <v>301372.848</v>
      </c>
      <c r="J118" s="172">
        <v>12</v>
      </c>
      <c r="K118" s="171">
        <f t="shared" si="21"/>
        <v>41283.95178082192</v>
      </c>
      <c r="L118" s="173"/>
      <c r="M118" s="171">
        <f t="shared" si="20"/>
        <v>342656.7997808219</v>
      </c>
    </row>
    <row r="119" spans="1:13" s="1" customFormat="1" ht="15">
      <c r="A119" s="167" t="s">
        <v>211</v>
      </c>
      <c r="B119" s="168"/>
      <c r="C119" s="167"/>
      <c r="D119" s="169">
        <v>8</v>
      </c>
      <c r="E119" s="169" t="s">
        <v>45</v>
      </c>
      <c r="F119" s="169" t="s">
        <v>20</v>
      </c>
      <c r="G119" s="169">
        <v>1</v>
      </c>
      <c r="H119" s="170">
        <f>23918.48*1.05</f>
        <v>25114.404000000002</v>
      </c>
      <c r="I119" s="171">
        <f t="shared" si="13"/>
        <v>301372.848</v>
      </c>
      <c r="J119" s="172">
        <v>12</v>
      </c>
      <c r="K119" s="171">
        <f t="shared" si="21"/>
        <v>41283.95178082192</v>
      </c>
      <c r="L119" s="173"/>
      <c r="M119" s="171">
        <f t="shared" si="20"/>
        <v>342656.7997808219</v>
      </c>
    </row>
    <row r="120" spans="1:13" s="1" customFormat="1" ht="15">
      <c r="A120" s="167" t="s">
        <v>212</v>
      </c>
      <c r="B120" s="168"/>
      <c r="C120" s="167"/>
      <c r="D120" s="169">
        <v>8</v>
      </c>
      <c r="E120" s="169" t="s">
        <v>45</v>
      </c>
      <c r="F120" s="169" t="s">
        <v>20</v>
      </c>
      <c r="G120" s="169">
        <v>1</v>
      </c>
      <c r="H120" s="170">
        <f>19932.03*1.05</f>
        <v>20928.6315</v>
      </c>
      <c r="I120" s="171">
        <f t="shared" si="13"/>
        <v>251143.57799999998</v>
      </c>
      <c r="J120" s="172">
        <v>12</v>
      </c>
      <c r="K120" s="171">
        <f t="shared" si="21"/>
        <v>34403.229863013694</v>
      </c>
      <c r="L120" s="173"/>
      <c r="M120" s="171">
        <f t="shared" si="20"/>
        <v>285546.8078630137</v>
      </c>
    </row>
    <row r="121" spans="1:13" s="1" customFormat="1" ht="15">
      <c r="A121" s="167" t="s">
        <v>212</v>
      </c>
      <c r="B121" s="168"/>
      <c r="C121" s="167"/>
      <c r="D121" s="169">
        <v>8</v>
      </c>
      <c r="E121" s="169" t="s">
        <v>45</v>
      </c>
      <c r="F121" s="169" t="s">
        <v>20</v>
      </c>
      <c r="G121" s="169">
        <v>1</v>
      </c>
      <c r="H121" s="170">
        <f aca="true" t="shared" si="22" ref="H121:H126">19932.03*1.05</f>
        <v>20928.6315</v>
      </c>
      <c r="I121" s="171">
        <f t="shared" si="13"/>
        <v>251143.57799999998</v>
      </c>
      <c r="J121" s="172">
        <v>12</v>
      </c>
      <c r="K121" s="171">
        <f t="shared" si="21"/>
        <v>34403.229863013694</v>
      </c>
      <c r="L121" s="173"/>
      <c r="M121" s="171">
        <f t="shared" si="20"/>
        <v>285546.8078630137</v>
      </c>
    </row>
    <row r="122" spans="1:13" s="1" customFormat="1" ht="15">
      <c r="A122" s="167" t="s">
        <v>212</v>
      </c>
      <c r="B122" s="168"/>
      <c r="C122" s="167"/>
      <c r="D122" s="169">
        <v>8</v>
      </c>
      <c r="E122" s="169" t="s">
        <v>45</v>
      </c>
      <c r="F122" s="169" t="s">
        <v>20</v>
      </c>
      <c r="G122" s="169">
        <v>1</v>
      </c>
      <c r="H122" s="170">
        <f t="shared" si="22"/>
        <v>20928.6315</v>
      </c>
      <c r="I122" s="171">
        <f t="shared" si="13"/>
        <v>146500.4205</v>
      </c>
      <c r="J122" s="172">
        <v>7</v>
      </c>
      <c r="K122" s="171">
        <f t="shared" si="21"/>
        <v>20068.55075342466</v>
      </c>
      <c r="L122" s="173"/>
      <c r="M122" s="171">
        <f t="shared" si="20"/>
        <v>166568.97125342468</v>
      </c>
    </row>
    <row r="123" spans="1:13" s="1" customFormat="1" ht="15">
      <c r="A123" s="167" t="s">
        <v>212</v>
      </c>
      <c r="B123" s="168"/>
      <c r="C123" s="167"/>
      <c r="D123" s="169">
        <v>8</v>
      </c>
      <c r="E123" s="169" t="s">
        <v>45</v>
      </c>
      <c r="F123" s="169" t="s">
        <v>20</v>
      </c>
      <c r="G123" s="169">
        <v>1</v>
      </c>
      <c r="H123" s="170">
        <f t="shared" si="22"/>
        <v>20928.6315</v>
      </c>
      <c r="I123" s="171">
        <f t="shared" si="13"/>
        <v>251143.57799999998</v>
      </c>
      <c r="J123" s="172">
        <v>12</v>
      </c>
      <c r="K123" s="171">
        <f t="shared" si="21"/>
        <v>34403.229863013694</v>
      </c>
      <c r="L123" s="173"/>
      <c r="M123" s="171">
        <f t="shared" si="20"/>
        <v>285546.8078630137</v>
      </c>
    </row>
    <row r="124" spans="1:13" s="1" customFormat="1" ht="15">
      <c r="A124" s="167" t="s">
        <v>212</v>
      </c>
      <c r="B124" s="168"/>
      <c r="C124" s="167"/>
      <c r="D124" s="169">
        <v>8</v>
      </c>
      <c r="E124" s="169" t="s">
        <v>45</v>
      </c>
      <c r="F124" s="169" t="s">
        <v>20</v>
      </c>
      <c r="G124" s="169">
        <v>1</v>
      </c>
      <c r="H124" s="170">
        <f t="shared" si="22"/>
        <v>20928.6315</v>
      </c>
      <c r="I124" s="171">
        <f t="shared" si="13"/>
        <v>251143.57799999998</v>
      </c>
      <c r="J124" s="172">
        <v>12</v>
      </c>
      <c r="K124" s="171">
        <f t="shared" si="21"/>
        <v>34403.229863013694</v>
      </c>
      <c r="L124" s="173"/>
      <c r="M124" s="171">
        <f t="shared" si="20"/>
        <v>285546.8078630137</v>
      </c>
    </row>
    <row r="125" spans="1:13" s="1" customFormat="1" ht="15">
      <c r="A125" s="167" t="s">
        <v>212</v>
      </c>
      <c r="B125" s="168"/>
      <c r="C125" s="167"/>
      <c r="D125" s="169">
        <v>8</v>
      </c>
      <c r="E125" s="169" t="s">
        <v>45</v>
      </c>
      <c r="F125" s="169" t="s">
        <v>20</v>
      </c>
      <c r="G125" s="169">
        <v>1</v>
      </c>
      <c r="H125" s="170">
        <f t="shared" si="22"/>
        <v>20928.6315</v>
      </c>
      <c r="I125" s="171">
        <f t="shared" si="13"/>
        <v>251143.57799999998</v>
      </c>
      <c r="J125" s="172">
        <v>12</v>
      </c>
      <c r="K125" s="171">
        <f t="shared" si="21"/>
        <v>34403.229863013694</v>
      </c>
      <c r="L125" s="173"/>
      <c r="M125" s="171">
        <f t="shared" si="20"/>
        <v>285546.8078630137</v>
      </c>
    </row>
    <row r="126" spans="1:13" s="1" customFormat="1" ht="15">
      <c r="A126" s="167" t="s">
        <v>212</v>
      </c>
      <c r="B126" s="168"/>
      <c r="C126" s="167"/>
      <c r="D126" s="169">
        <v>8</v>
      </c>
      <c r="E126" s="169" t="s">
        <v>45</v>
      </c>
      <c r="F126" s="169" t="s">
        <v>20</v>
      </c>
      <c r="G126" s="169">
        <v>1</v>
      </c>
      <c r="H126" s="170">
        <f t="shared" si="22"/>
        <v>20928.6315</v>
      </c>
      <c r="I126" s="171">
        <f t="shared" si="13"/>
        <v>251143.57799999998</v>
      </c>
      <c r="J126" s="172">
        <v>12</v>
      </c>
      <c r="K126" s="171">
        <f t="shared" si="21"/>
        <v>34403.229863013694</v>
      </c>
      <c r="L126" s="173"/>
      <c r="M126" s="171">
        <f t="shared" si="20"/>
        <v>285546.8078630137</v>
      </c>
    </row>
    <row r="127" spans="1:13" s="1" customFormat="1" ht="15">
      <c r="A127" s="167" t="s">
        <v>212</v>
      </c>
      <c r="B127" s="168"/>
      <c r="C127" s="167"/>
      <c r="D127" s="169">
        <v>8</v>
      </c>
      <c r="E127" s="169" t="s">
        <v>45</v>
      </c>
      <c r="F127" s="169" t="s">
        <v>20</v>
      </c>
      <c r="G127" s="169">
        <v>1</v>
      </c>
      <c r="H127" s="170">
        <f>23019*1.05</f>
        <v>24169.95</v>
      </c>
      <c r="I127" s="171">
        <f t="shared" si="13"/>
        <v>290039.4</v>
      </c>
      <c r="J127" s="172">
        <v>12</v>
      </c>
      <c r="K127" s="171">
        <f t="shared" si="21"/>
        <v>39731.42465753425</v>
      </c>
      <c r="L127" s="173"/>
      <c r="M127" s="171">
        <f>+I127+K127</f>
        <v>329770.82465753425</v>
      </c>
    </row>
    <row r="128" spans="1:13" s="1" customFormat="1" ht="15">
      <c r="A128" s="167" t="s">
        <v>213</v>
      </c>
      <c r="B128" s="168"/>
      <c r="C128" s="167"/>
      <c r="D128" s="169">
        <v>8</v>
      </c>
      <c r="E128" s="169" t="s">
        <v>45</v>
      </c>
      <c r="F128" s="169" t="s">
        <v>20</v>
      </c>
      <c r="G128" s="169">
        <v>1</v>
      </c>
      <c r="H128" s="170">
        <f>16610.35*1.05</f>
        <v>17440.8675</v>
      </c>
      <c r="I128" s="171">
        <f t="shared" si="13"/>
        <v>209290.41</v>
      </c>
      <c r="J128" s="172">
        <v>12</v>
      </c>
      <c r="K128" s="171">
        <f t="shared" si="21"/>
        <v>28669.919178082193</v>
      </c>
      <c r="L128" s="173"/>
      <c r="M128" s="171">
        <f t="shared" si="20"/>
        <v>237960.3291780822</v>
      </c>
    </row>
    <row r="129" spans="1:13" s="1" customFormat="1" ht="15">
      <c r="A129" s="167" t="s">
        <v>213</v>
      </c>
      <c r="B129" s="168"/>
      <c r="C129" s="167"/>
      <c r="D129" s="169">
        <v>8</v>
      </c>
      <c r="E129" s="169" t="s">
        <v>45</v>
      </c>
      <c r="F129" s="169" t="s">
        <v>20</v>
      </c>
      <c r="G129" s="169">
        <v>1</v>
      </c>
      <c r="H129" s="170">
        <f aca="true" t="shared" si="23" ref="H129:H138">16610.35*1.05</f>
        <v>17440.8675</v>
      </c>
      <c r="I129" s="171">
        <f t="shared" si="13"/>
        <v>122086.07250000001</v>
      </c>
      <c r="J129" s="172">
        <v>7</v>
      </c>
      <c r="K129" s="171">
        <f t="shared" si="21"/>
        <v>16724.119520547945</v>
      </c>
      <c r="L129" s="173"/>
      <c r="M129" s="171">
        <f t="shared" si="20"/>
        <v>138810.19202054795</v>
      </c>
    </row>
    <row r="130" spans="1:13" s="1" customFormat="1" ht="15">
      <c r="A130" s="167" t="s">
        <v>213</v>
      </c>
      <c r="B130" s="168"/>
      <c r="C130" s="167"/>
      <c r="D130" s="169">
        <v>8</v>
      </c>
      <c r="E130" s="169" t="s">
        <v>45</v>
      </c>
      <c r="F130" s="169" t="s">
        <v>20</v>
      </c>
      <c r="G130" s="169">
        <v>1</v>
      </c>
      <c r="H130" s="170">
        <f t="shared" si="23"/>
        <v>17440.8675</v>
      </c>
      <c r="I130" s="171">
        <f t="shared" si="13"/>
        <v>209290.41</v>
      </c>
      <c r="J130" s="172">
        <v>12</v>
      </c>
      <c r="K130" s="171">
        <f t="shared" si="21"/>
        <v>28669.919178082193</v>
      </c>
      <c r="L130" s="173"/>
      <c r="M130" s="171">
        <f t="shared" si="20"/>
        <v>237960.3291780822</v>
      </c>
    </row>
    <row r="131" spans="1:13" s="1" customFormat="1" ht="15">
      <c r="A131" s="167" t="s">
        <v>213</v>
      </c>
      <c r="B131" s="168"/>
      <c r="C131" s="167"/>
      <c r="D131" s="169">
        <v>8</v>
      </c>
      <c r="E131" s="169" t="s">
        <v>45</v>
      </c>
      <c r="F131" s="169" t="s">
        <v>20</v>
      </c>
      <c r="G131" s="169">
        <v>1</v>
      </c>
      <c r="H131" s="170">
        <f t="shared" si="23"/>
        <v>17440.8675</v>
      </c>
      <c r="I131" s="171">
        <f t="shared" si="13"/>
        <v>209290.41</v>
      </c>
      <c r="J131" s="172">
        <v>12</v>
      </c>
      <c r="K131" s="171">
        <f t="shared" si="21"/>
        <v>28669.919178082193</v>
      </c>
      <c r="L131" s="173"/>
      <c r="M131" s="171">
        <f t="shared" si="20"/>
        <v>237960.3291780822</v>
      </c>
    </row>
    <row r="132" spans="1:14" s="1" customFormat="1" ht="15">
      <c r="A132" s="167" t="s">
        <v>210</v>
      </c>
      <c r="B132" s="168"/>
      <c r="C132" s="167"/>
      <c r="D132" s="169">
        <v>8</v>
      </c>
      <c r="E132" s="169" t="s">
        <v>45</v>
      </c>
      <c r="F132" s="169" t="s">
        <v>20</v>
      </c>
      <c r="G132" s="169">
        <v>1</v>
      </c>
      <c r="H132" s="170">
        <v>14533.76</v>
      </c>
      <c r="I132" s="171">
        <f t="shared" si="13"/>
        <v>174405.12</v>
      </c>
      <c r="J132" s="172">
        <v>12</v>
      </c>
      <c r="K132" s="171">
        <f t="shared" si="21"/>
        <v>23891.11232876712</v>
      </c>
      <c r="L132" s="173"/>
      <c r="M132" s="171">
        <f t="shared" si="20"/>
        <v>198296.23232876713</v>
      </c>
      <c r="N132" s="141" t="s">
        <v>91</v>
      </c>
    </row>
    <row r="133" spans="1:13" s="1" customFormat="1" ht="15">
      <c r="A133" s="167" t="s">
        <v>213</v>
      </c>
      <c r="B133" s="168"/>
      <c r="C133" s="167"/>
      <c r="D133" s="169">
        <v>8</v>
      </c>
      <c r="E133" s="169" t="s">
        <v>45</v>
      </c>
      <c r="F133" s="169" t="s">
        <v>20</v>
      </c>
      <c r="G133" s="169">
        <v>1</v>
      </c>
      <c r="H133" s="170">
        <f t="shared" si="23"/>
        <v>17440.8675</v>
      </c>
      <c r="I133" s="171">
        <f t="shared" si="13"/>
        <v>209290.41</v>
      </c>
      <c r="J133" s="172">
        <v>12</v>
      </c>
      <c r="K133" s="171">
        <f t="shared" si="21"/>
        <v>28669.919178082193</v>
      </c>
      <c r="L133" s="173"/>
      <c r="M133" s="171">
        <f t="shared" si="20"/>
        <v>237960.3291780822</v>
      </c>
    </row>
    <row r="134" spans="1:13" s="1" customFormat="1" ht="15">
      <c r="A134" s="167" t="s">
        <v>213</v>
      </c>
      <c r="B134" s="168"/>
      <c r="C134" s="167"/>
      <c r="D134" s="169">
        <v>8</v>
      </c>
      <c r="E134" s="169" t="s">
        <v>45</v>
      </c>
      <c r="F134" s="169" t="s">
        <v>20</v>
      </c>
      <c r="G134" s="169">
        <v>1</v>
      </c>
      <c r="H134" s="170">
        <f t="shared" si="23"/>
        <v>17440.8675</v>
      </c>
      <c r="I134" s="171">
        <f t="shared" si="13"/>
        <v>209290.41</v>
      </c>
      <c r="J134" s="172">
        <v>12</v>
      </c>
      <c r="K134" s="171">
        <f t="shared" si="21"/>
        <v>28669.919178082193</v>
      </c>
      <c r="L134" s="173"/>
      <c r="M134" s="171">
        <f t="shared" si="20"/>
        <v>237960.3291780822</v>
      </c>
    </row>
    <row r="135" spans="1:13" s="1" customFormat="1" ht="15">
      <c r="A135" s="167" t="s">
        <v>213</v>
      </c>
      <c r="B135" s="168"/>
      <c r="C135" s="167"/>
      <c r="D135" s="169">
        <v>8</v>
      </c>
      <c r="E135" s="169" t="s">
        <v>45</v>
      </c>
      <c r="F135" s="169" t="s">
        <v>20</v>
      </c>
      <c r="G135" s="169">
        <v>1</v>
      </c>
      <c r="H135" s="170">
        <f t="shared" si="23"/>
        <v>17440.8675</v>
      </c>
      <c r="I135" s="171">
        <f t="shared" si="13"/>
        <v>209290.41</v>
      </c>
      <c r="J135" s="172">
        <v>12</v>
      </c>
      <c r="K135" s="171">
        <f t="shared" si="21"/>
        <v>28669.919178082193</v>
      </c>
      <c r="L135" s="173"/>
      <c r="M135" s="171">
        <f t="shared" si="20"/>
        <v>237960.3291780822</v>
      </c>
    </row>
    <row r="136" spans="1:13" s="1" customFormat="1" ht="15">
      <c r="A136" s="167" t="s">
        <v>213</v>
      </c>
      <c r="B136" s="168"/>
      <c r="C136" s="167"/>
      <c r="D136" s="169">
        <v>8</v>
      </c>
      <c r="E136" s="169" t="s">
        <v>45</v>
      </c>
      <c r="F136" s="169" t="s">
        <v>20</v>
      </c>
      <c r="G136" s="169">
        <v>1</v>
      </c>
      <c r="H136" s="170">
        <f t="shared" si="23"/>
        <v>17440.8675</v>
      </c>
      <c r="I136" s="171">
        <f t="shared" si="13"/>
        <v>209290.41</v>
      </c>
      <c r="J136" s="172">
        <v>12</v>
      </c>
      <c r="K136" s="171">
        <f t="shared" si="21"/>
        <v>28669.919178082193</v>
      </c>
      <c r="L136" s="173"/>
      <c r="M136" s="171">
        <f t="shared" si="20"/>
        <v>237960.3291780822</v>
      </c>
    </row>
    <row r="137" spans="1:13" s="1" customFormat="1" ht="15">
      <c r="A137" s="167" t="s">
        <v>213</v>
      </c>
      <c r="B137" s="168"/>
      <c r="C137" s="167"/>
      <c r="D137" s="169">
        <v>8</v>
      </c>
      <c r="E137" s="169" t="s">
        <v>45</v>
      </c>
      <c r="F137" s="169" t="s">
        <v>20</v>
      </c>
      <c r="G137" s="169">
        <v>1</v>
      </c>
      <c r="H137" s="170">
        <f t="shared" si="23"/>
        <v>17440.8675</v>
      </c>
      <c r="I137" s="171">
        <f t="shared" si="13"/>
        <v>209290.41</v>
      </c>
      <c r="J137" s="172">
        <v>12</v>
      </c>
      <c r="K137" s="171">
        <f t="shared" si="21"/>
        <v>28669.919178082193</v>
      </c>
      <c r="L137" s="173"/>
      <c r="M137" s="171">
        <f t="shared" si="20"/>
        <v>237960.3291780822</v>
      </c>
    </row>
    <row r="138" spans="1:13" s="1" customFormat="1" ht="15">
      <c r="A138" s="167" t="s">
        <v>213</v>
      </c>
      <c r="B138" s="168"/>
      <c r="C138" s="167"/>
      <c r="D138" s="169">
        <v>8</v>
      </c>
      <c r="E138" s="169" t="s">
        <v>45</v>
      </c>
      <c r="F138" s="169" t="s">
        <v>20</v>
      </c>
      <c r="G138" s="169">
        <v>1</v>
      </c>
      <c r="H138" s="170">
        <f t="shared" si="23"/>
        <v>17440.8675</v>
      </c>
      <c r="I138" s="171">
        <f t="shared" si="13"/>
        <v>209290.41</v>
      </c>
      <c r="J138" s="172">
        <v>12</v>
      </c>
      <c r="K138" s="171">
        <f t="shared" si="21"/>
        <v>28669.919178082193</v>
      </c>
      <c r="L138" s="173"/>
      <c r="M138" s="171">
        <f t="shared" si="20"/>
        <v>237960.3291780822</v>
      </c>
    </row>
    <row r="139" spans="1:13" ht="15">
      <c r="A139" s="167" t="s">
        <v>244</v>
      </c>
      <c r="B139" s="168"/>
      <c r="C139" s="167"/>
      <c r="D139" s="169">
        <v>8</v>
      </c>
      <c r="E139" s="169" t="s">
        <v>45</v>
      </c>
      <c r="F139" s="169" t="s">
        <v>20</v>
      </c>
      <c r="G139" s="169">
        <v>1</v>
      </c>
      <c r="H139" s="170">
        <f>9440*1.05</f>
        <v>9912</v>
      </c>
      <c r="I139" s="171">
        <f aca="true" t="shared" si="24" ref="I139:I170">+H139*J139</f>
        <v>118944</v>
      </c>
      <c r="J139" s="172">
        <v>12</v>
      </c>
      <c r="K139" s="171">
        <f t="shared" si="21"/>
        <v>16293.698630136987</v>
      </c>
      <c r="L139" s="173"/>
      <c r="M139" s="171">
        <f t="shared" si="20"/>
        <v>135237.698630137</v>
      </c>
    </row>
    <row r="140" spans="1:14" s="1" customFormat="1" ht="15">
      <c r="A140" s="167" t="s">
        <v>210</v>
      </c>
      <c r="B140" s="168"/>
      <c r="C140" s="167"/>
      <c r="D140" s="169">
        <v>8</v>
      </c>
      <c r="E140" s="169" t="s">
        <v>45</v>
      </c>
      <c r="F140" s="169" t="s">
        <v>20</v>
      </c>
      <c r="G140" s="169">
        <v>1</v>
      </c>
      <c r="H140" s="170">
        <f>13841.7*1.05</f>
        <v>14533.785000000002</v>
      </c>
      <c r="I140" s="171">
        <f t="shared" si="24"/>
        <v>174405.42</v>
      </c>
      <c r="J140" s="172">
        <v>12</v>
      </c>
      <c r="K140" s="171">
        <f t="shared" si="21"/>
        <v>23891.153424657536</v>
      </c>
      <c r="L140" s="173"/>
      <c r="M140" s="171">
        <f aca="true" t="shared" si="25" ref="M140:M186">+I140+K140</f>
        <v>198296.57342465754</v>
      </c>
      <c r="N140" s="1" t="s">
        <v>91</v>
      </c>
    </row>
    <row r="141" spans="1:13" ht="15">
      <c r="A141" s="167" t="s">
        <v>244</v>
      </c>
      <c r="B141" s="168"/>
      <c r="C141" s="167"/>
      <c r="D141" s="169">
        <v>8</v>
      </c>
      <c r="E141" s="169" t="s">
        <v>45</v>
      </c>
      <c r="F141" s="169" t="s">
        <v>20</v>
      </c>
      <c r="G141" s="169">
        <v>1</v>
      </c>
      <c r="H141" s="170">
        <v>9911.05</v>
      </c>
      <c r="I141" s="171">
        <f t="shared" si="24"/>
        <v>69377.34999999999</v>
      </c>
      <c r="J141" s="172">
        <v>7</v>
      </c>
      <c r="K141" s="171">
        <f t="shared" si="21"/>
        <v>9503.746575342464</v>
      </c>
      <c r="L141" s="173"/>
      <c r="M141" s="171">
        <f t="shared" si="25"/>
        <v>78881.09657534245</v>
      </c>
    </row>
    <row r="142" spans="1:13" ht="15">
      <c r="A142" s="167" t="s">
        <v>276</v>
      </c>
      <c r="B142" s="168"/>
      <c r="C142" s="167"/>
      <c r="D142" s="169">
        <v>8</v>
      </c>
      <c r="E142" s="169" t="s">
        <v>45</v>
      </c>
      <c r="F142" s="169" t="s">
        <v>20</v>
      </c>
      <c r="G142" s="169">
        <v>1</v>
      </c>
      <c r="H142" s="170">
        <v>9911.95</v>
      </c>
      <c r="I142" s="171">
        <f t="shared" si="24"/>
        <v>69383.65000000001</v>
      </c>
      <c r="J142" s="172">
        <v>7</v>
      </c>
      <c r="K142" s="171">
        <f t="shared" si="21"/>
        <v>9504.609589041096</v>
      </c>
      <c r="L142" s="173"/>
      <c r="M142" s="171">
        <f t="shared" si="25"/>
        <v>78888.2595890411</v>
      </c>
    </row>
    <row r="143" spans="1:13" s="1" customFormat="1" ht="15">
      <c r="A143" s="167" t="s">
        <v>210</v>
      </c>
      <c r="B143" s="168"/>
      <c r="C143" s="167"/>
      <c r="D143" s="169">
        <v>8</v>
      </c>
      <c r="E143" s="169" t="s">
        <v>45</v>
      </c>
      <c r="F143" s="169" t="s">
        <v>20</v>
      </c>
      <c r="G143" s="169">
        <v>1</v>
      </c>
      <c r="H143" s="170">
        <v>14533.76</v>
      </c>
      <c r="I143" s="171">
        <f t="shared" si="24"/>
        <v>174405.12</v>
      </c>
      <c r="J143" s="172">
        <v>12</v>
      </c>
      <c r="K143" s="171">
        <f t="shared" si="21"/>
        <v>23891.11232876712</v>
      </c>
      <c r="L143" s="173"/>
      <c r="M143" s="171">
        <f t="shared" si="25"/>
        <v>198296.23232876713</v>
      </c>
    </row>
    <row r="144" spans="1:13" s="1" customFormat="1" ht="15">
      <c r="A144" s="167" t="s">
        <v>277</v>
      </c>
      <c r="B144" s="168"/>
      <c r="C144" s="167"/>
      <c r="D144" s="169">
        <v>8</v>
      </c>
      <c r="E144" s="169" t="s">
        <v>45</v>
      </c>
      <c r="F144" s="169" t="s">
        <v>20</v>
      </c>
      <c r="G144" s="169">
        <v>1</v>
      </c>
      <c r="H144" s="170">
        <f>13841.7*1.05</f>
        <v>14533.785000000002</v>
      </c>
      <c r="I144" s="171">
        <f t="shared" si="24"/>
        <v>174405.42</v>
      </c>
      <c r="J144" s="172">
        <v>12</v>
      </c>
      <c r="K144" s="171">
        <f t="shared" si="21"/>
        <v>23891.153424657536</v>
      </c>
      <c r="L144" s="173"/>
      <c r="M144" s="171">
        <f t="shared" si="25"/>
        <v>198296.57342465754</v>
      </c>
    </row>
    <row r="145" spans="1:13" ht="15">
      <c r="A145" s="167" t="s">
        <v>244</v>
      </c>
      <c r="B145" s="168"/>
      <c r="C145" s="167"/>
      <c r="D145" s="169">
        <v>8</v>
      </c>
      <c r="E145" s="169" t="s">
        <v>45</v>
      </c>
      <c r="F145" s="169" t="s">
        <v>20</v>
      </c>
      <c r="G145" s="169">
        <v>1</v>
      </c>
      <c r="H145" s="170">
        <v>9911.05</v>
      </c>
      <c r="I145" s="171">
        <f t="shared" si="24"/>
        <v>99110.5</v>
      </c>
      <c r="J145" s="172">
        <v>10</v>
      </c>
      <c r="K145" s="171">
        <f aca="true" t="shared" si="26" ref="K145:K176">+I145/365*50</f>
        <v>13576.780821917808</v>
      </c>
      <c r="L145" s="173"/>
      <c r="M145" s="171">
        <f t="shared" si="25"/>
        <v>112687.28082191781</v>
      </c>
    </row>
    <row r="146" spans="1:13" s="1" customFormat="1" ht="15">
      <c r="A146" s="167" t="s">
        <v>244</v>
      </c>
      <c r="B146" s="168"/>
      <c r="C146" s="167"/>
      <c r="D146" s="169">
        <v>8</v>
      </c>
      <c r="E146" s="169" t="s">
        <v>45</v>
      </c>
      <c r="F146" s="169" t="s">
        <v>20</v>
      </c>
      <c r="G146" s="169">
        <v>1</v>
      </c>
      <c r="H146" s="170">
        <f>9440*1.05</f>
        <v>9912</v>
      </c>
      <c r="I146" s="171">
        <f t="shared" si="24"/>
        <v>59472</v>
      </c>
      <c r="J146" s="172">
        <v>6</v>
      </c>
      <c r="K146" s="171">
        <f t="shared" si="26"/>
        <v>8146.8493150684935</v>
      </c>
      <c r="L146" s="173"/>
      <c r="M146" s="171">
        <f t="shared" si="25"/>
        <v>67618.8493150685</v>
      </c>
    </row>
    <row r="147" spans="1:13" ht="15">
      <c r="A147" s="167" t="s">
        <v>244</v>
      </c>
      <c r="B147" s="168"/>
      <c r="C147" s="167"/>
      <c r="D147" s="169">
        <v>8</v>
      </c>
      <c r="E147" s="169" t="s">
        <v>45</v>
      </c>
      <c r="F147" s="169" t="s">
        <v>20</v>
      </c>
      <c r="G147" s="169">
        <v>1</v>
      </c>
      <c r="H147" s="170">
        <f>9440*1.05</f>
        <v>9912</v>
      </c>
      <c r="I147" s="171">
        <f t="shared" si="24"/>
        <v>89208</v>
      </c>
      <c r="J147" s="172">
        <v>9</v>
      </c>
      <c r="K147" s="171">
        <f t="shared" si="26"/>
        <v>12220.27397260274</v>
      </c>
      <c r="L147" s="173"/>
      <c r="M147" s="171">
        <f t="shared" si="25"/>
        <v>101428.27397260274</v>
      </c>
    </row>
    <row r="148" spans="1:13" s="1" customFormat="1" ht="15">
      <c r="A148" s="167" t="s">
        <v>244</v>
      </c>
      <c r="B148" s="168"/>
      <c r="C148" s="167"/>
      <c r="D148" s="169">
        <v>8</v>
      </c>
      <c r="E148" s="169" t="s">
        <v>45</v>
      </c>
      <c r="F148" s="169" t="s">
        <v>20</v>
      </c>
      <c r="G148" s="169">
        <v>1</v>
      </c>
      <c r="H148" s="170">
        <f>9440*1.05</f>
        <v>9912</v>
      </c>
      <c r="I148" s="171">
        <f t="shared" si="24"/>
        <v>79296</v>
      </c>
      <c r="J148" s="172">
        <v>8</v>
      </c>
      <c r="K148" s="171">
        <f t="shared" si="26"/>
        <v>10862.465753424658</v>
      </c>
      <c r="L148" s="173"/>
      <c r="M148" s="171">
        <f t="shared" si="25"/>
        <v>90158.46575342465</v>
      </c>
    </row>
    <row r="149" spans="1:13" s="1" customFormat="1" ht="15">
      <c r="A149" s="176" t="s">
        <v>210</v>
      </c>
      <c r="B149" s="177" t="s">
        <v>91</v>
      </c>
      <c r="C149" s="176"/>
      <c r="D149" s="169">
        <v>8</v>
      </c>
      <c r="E149" s="169" t="s">
        <v>45</v>
      </c>
      <c r="F149" s="169" t="s">
        <v>20</v>
      </c>
      <c r="G149" s="169">
        <v>1</v>
      </c>
      <c r="H149" s="170">
        <f>13841.7*1.05</f>
        <v>14533.785000000002</v>
      </c>
      <c r="I149" s="171">
        <f t="shared" si="24"/>
        <v>14533.785000000002</v>
      </c>
      <c r="J149" s="172">
        <v>1</v>
      </c>
      <c r="K149" s="171">
        <f t="shared" si="26"/>
        <v>1990.9294520547949</v>
      </c>
      <c r="L149" s="177" t="s">
        <v>91</v>
      </c>
      <c r="M149" s="171">
        <f t="shared" si="25"/>
        <v>16524.714452054795</v>
      </c>
    </row>
    <row r="150" spans="1:13" s="1" customFormat="1" ht="15">
      <c r="A150" s="176" t="s">
        <v>210</v>
      </c>
      <c r="B150" s="178" t="s">
        <v>91</v>
      </c>
      <c r="C150" s="179"/>
      <c r="D150" s="169">
        <v>8</v>
      </c>
      <c r="E150" s="169" t="s">
        <v>45</v>
      </c>
      <c r="F150" s="169" t="s">
        <v>20</v>
      </c>
      <c r="G150" s="169">
        <v>1</v>
      </c>
      <c r="H150" s="170">
        <f>13841.7*1.05</f>
        <v>14533.785000000002</v>
      </c>
      <c r="I150" s="171">
        <f t="shared" si="24"/>
        <v>14533.785000000002</v>
      </c>
      <c r="J150" s="172">
        <v>1</v>
      </c>
      <c r="K150" s="171">
        <f t="shared" si="26"/>
        <v>1990.9294520547949</v>
      </c>
      <c r="L150" s="178" t="s">
        <v>91</v>
      </c>
      <c r="M150" s="171">
        <f t="shared" si="25"/>
        <v>16524.714452054795</v>
      </c>
    </row>
    <row r="151" spans="1:13" s="1" customFormat="1" ht="15">
      <c r="A151" s="176" t="s">
        <v>244</v>
      </c>
      <c r="B151" s="177" t="s">
        <v>91</v>
      </c>
      <c r="C151" s="176"/>
      <c r="D151" s="169">
        <v>8</v>
      </c>
      <c r="E151" s="169" t="s">
        <v>45</v>
      </c>
      <c r="F151" s="169" t="s">
        <v>20</v>
      </c>
      <c r="G151" s="169">
        <v>1</v>
      </c>
      <c r="H151" s="170">
        <f>9440*1.05</f>
        <v>9912</v>
      </c>
      <c r="I151" s="171">
        <f t="shared" si="24"/>
        <v>19824</v>
      </c>
      <c r="J151" s="172">
        <v>2</v>
      </c>
      <c r="K151" s="171">
        <f t="shared" si="26"/>
        <v>2715.6164383561645</v>
      </c>
      <c r="L151" s="177" t="s">
        <v>91</v>
      </c>
      <c r="M151" s="171">
        <f t="shared" si="25"/>
        <v>22539.616438356163</v>
      </c>
    </row>
    <row r="152" spans="1:13" s="1" customFormat="1" ht="15">
      <c r="A152" s="176" t="s">
        <v>284</v>
      </c>
      <c r="B152" s="177" t="s">
        <v>91</v>
      </c>
      <c r="C152" s="176"/>
      <c r="D152" s="169">
        <v>8</v>
      </c>
      <c r="E152" s="169" t="s">
        <v>45</v>
      </c>
      <c r="F152" s="169" t="s">
        <v>20</v>
      </c>
      <c r="G152" s="169">
        <v>1</v>
      </c>
      <c r="H152" s="170">
        <f>13841.7*1.05</f>
        <v>14533.785000000002</v>
      </c>
      <c r="I152" s="171">
        <f t="shared" si="24"/>
        <v>29067.570000000003</v>
      </c>
      <c r="J152" s="172">
        <v>2</v>
      </c>
      <c r="K152" s="171">
        <f t="shared" si="26"/>
        <v>3981.8589041095897</v>
      </c>
      <c r="L152" s="177" t="s">
        <v>91</v>
      </c>
      <c r="M152" s="171">
        <f t="shared" si="25"/>
        <v>33049.42890410959</v>
      </c>
    </row>
    <row r="153" spans="1:13" s="1" customFormat="1" ht="15">
      <c r="A153" s="180" t="s">
        <v>284</v>
      </c>
      <c r="B153" s="177" t="s">
        <v>91</v>
      </c>
      <c r="C153" s="176"/>
      <c r="D153" s="169">
        <v>8</v>
      </c>
      <c r="E153" s="169" t="s">
        <v>45</v>
      </c>
      <c r="F153" s="169" t="s">
        <v>20</v>
      </c>
      <c r="G153" s="169">
        <v>1</v>
      </c>
      <c r="H153" s="170">
        <f>13841.7*1.05</f>
        <v>14533.785000000002</v>
      </c>
      <c r="I153" s="171">
        <f t="shared" si="24"/>
        <v>29067.570000000003</v>
      </c>
      <c r="J153" s="172">
        <v>2</v>
      </c>
      <c r="K153" s="171">
        <f t="shared" si="26"/>
        <v>3981.8589041095897</v>
      </c>
      <c r="L153" s="177" t="s">
        <v>91</v>
      </c>
      <c r="M153" s="171">
        <f t="shared" si="25"/>
        <v>33049.42890410959</v>
      </c>
    </row>
    <row r="154" spans="1:13" s="1" customFormat="1" ht="15">
      <c r="A154" s="180" t="s">
        <v>285</v>
      </c>
      <c r="B154" s="177" t="s">
        <v>91</v>
      </c>
      <c r="C154" s="176"/>
      <c r="D154" s="169">
        <v>8</v>
      </c>
      <c r="E154" s="169" t="s">
        <v>45</v>
      </c>
      <c r="F154" s="169" t="s">
        <v>20</v>
      </c>
      <c r="G154" s="169">
        <v>1</v>
      </c>
      <c r="H154" s="170">
        <v>22067.5</v>
      </c>
      <c r="I154" s="171">
        <f t="shared" si="24"/>
        <v>44135</v>
      </c>
      <c r="J154" s="172">
        <v>2</v>
      </c>
      <c r="K154" s="171">
        <f t="shared" si="26"/>
        <v>6045.890410958904</v>
      </c>
      <c r="L154" s="177" t="s">
        <v>91</v>
      </c>
      <c r="M154" s="171">
        <f t="shared" si="25"/>
        <v>50180.890410958906</v>
      </c>
    </row>
    <row r="155" spans="1:13" s="1" customFormat="1" ht="15">
      <c r="A155" s="180" t="s">
        <v>210</v>
      </c>
      <c r="B155" s="177" t="s">
        <v>91</v>
      </c>
      <c r="C155" s="176"/>
      <c r="D155" s="169">
        <v>8</v>
      </c>
      <c r="E155" s="169" t="s">
        <v>45</v>
      </c>
      <c r="F155" s="169" t="s">
        <v>20</v>
      </c>
      <c r="G155" s="169">
        <v>1</v>
      </c>
      <c r="H155" s="170">
        <f>13841.7*1.05</f>
        <v>14533.785000000002</v>
      </c>
      <c r="I155" s="171">
        <f t="shared" si="24"/>
        <v>14533.785000000002</v>
      </c>
      <c r="J155" s="172">
        <v>1</v>
      </c>
      <c r="K155" s="171">
        <f t="shared" si="26"/>
        <v>1990.9294520547949</v>
      </c>
      <c r="L155" s="177" t="s">
        <v>91</v>
      </c>
      <c r="M155" s="171">
        <f t="shared" si="25"/>
        <v>16524.714452054795</v>
      </c>
    </row>
    <row r="156" spans="1:13" s="1" customFormat="1" ht="15">
      <c r="A156" s="180" t="s">
        <v>210</v>
      </c>
      <c r="B156" s="177" t="s">
        <v>91</v>
      </c>
      <c r="C156" s="176"/>
      <c r="D156" s="169">
        <v>8</v>
      </c>
      <c r="E156" s="169" t="s">
        <v>45</v>
      </c>
      <c r="F156" s="169" t="s">
        <v>20</v>
      </c>
      <c r="G156" s="169">
        <v>1</v>
      </c>
      <c r="H156" s="170">
        <f>13841.7*1.05</f>
        <v>14533.785000000002</v>
      </c>
      <c r="I156" s="171">
        <f t="shared" si="24"/>
        <v>43601.355</v>
      </c>
      <c r="J156" s="172">
        <v>3</v>
      </c>
      <c r="K156" s="171">
        <f t="shared" si="26"/>
        <v>5972.788356164384</v>
      </c>
      <c r="L156" s="177" t="s">
        <v>91</v>
      </c>
      <c r="M156" s="171">
        <f t="shared" si="25"/>
        <v>49574.143356164386</v>
      </c>
    </row>
    <row r="157" spans="1:13" s="1" customFormat="1" ht="15">
      <c r="A157" s="180" t="s">
        <v>244</v>
      </c>
      <c r="B157" s="177" t="s">
        <v>91</v>
      </c>
      <c r="C157" s="176"/>
      <c r="D157" s="169">
        <v>8</v>
      </c>
      <c r="E157" s="169" t="s">
        <v>45</v>
      </c>
      <c r="F157" s="169" t="s">
        <v>20</v>
      </c>
      <c r="G157" s="169">
        <v>1</v>
      </c>
      <c r="H157" s="170">
        <f>9440*1.05</f>
        <v>9912</v>
      </c>
      <c r="I157" s="171">
        <f t="shared" si="24"/>
        <v>29736</v>
      </c>
      <c r="J157" s="172">
        <v>3</v>
      </c>
      <c r="K157" s="171">
        <f t="shared" si="26"/>
        <v>4073.4246575342468</v>
      </c>
      <c r="L157" s="177" t="s">
        <v>91</v>
      </c>
      <c r="M157" s="171">
        <f t="shared" si="25"/>
        <v>33809.42465753425</v>
      </c>
    </row>
    <row r="158" spans="1:14" s="1" customFormat="1" ht="15">
      <c r="A158" s="180" t="s">
        <v>213</v>
      </c>
      <c r="B158" s="177" t="s">
        <v>91</v>
      </c>
      <c r="C158" s="176"/>
      <c r="D158" s="169">
        <v>8</v>
      </c>
      <c r="E158" s="169" t="s">
        <v>45</v>
      </c>
      <c r="F158" s="169" t="s">
        <v>20</v>
      </c>
      <c r="G158" s="169">
        <v>1</v>
      </c>
      <c r="H158" s="170">
        <f>16610.35*1.05</f>
        <v>17440.8675</v>
      </c>
      <c r="I158" s="171">
        <f t="shared" si="24"/>
        <v>52322.6025</v>
      </c>
      <c r="J158" s="172">
        <v>3</v>
      </c>
      <c r="K158" s="171">
        <f t="shared" si="26"/>
        <v>7167.479794520548</v>
      </c>
      <c r="L158" s="173" t="s">
        <v>91</v>
      </c>
      <c r="M158" s="171">
        <f t="shared" si="25"/>
        <v>59490.08229452055</v>
      </c>
      <c r="N158" s="1" t="s">
        <v>91</v>
      </c>
    </row>
    <row r="159" spans="1:13" s="1" customFormat="1" ht="15">
      <c r="A159" s="180" t="s">
        <v>210</v>
      </c>
      <c r="B159" s="177" t="s">
        <v>91</v>
      </c>
      <c r="C159" s="176"/>
      <c r="D159" s="169">
        <v>8</v>
      </c>
      <c r="E159" s="169" t="s">
        <v>45</v>
      </c>
      <c r="F159" s="169" t="s">
        <v>20</v>
      </c>
      <c r="G159" s="169">
        <v>1</v>
      </c>
      <c r="H159" s="170">
        <f>13841.7*1.05</f>
        <v>14533.785000000002</v>
      </c>
      <c r="I159" s="171">
        <f t="shared" si="24"/>
        <v>43601.355</v>
      </c>
      <c r="J159" s="172">
        <v>3</v>
      </c>
      <c r="K159" s="171">
        <f t="shared" si="26"/>
        <v>5972.788356164384</v>
      </c>
      <c r="L159" s="177" t="s">
        <v>91</v>
      </c>
      <c r="M159" s="171">
        <f t="shared" si="25"/>
        <v>49574.143356164386</v>
      </c>
    </row>
    <row r="160" spans="1:13" s="1" customFormat="1" ht="15">
      <c r="A160" s="180" t="s">
        <v>244</v>
      </c>
      <c r="B160" s="177" t="s">
        <v>91</v>
      </c>
      <c r="C160" s="176"/>
      <c r="D160" s="169">
        <v>8</v>
      </c>
      <c r="E160" s="169" t="s">
        <v>45</v>
      </c>
      <c r="F160" s="169" t="s">
        <v>20</v>
      </c>
      <c r="G160" s="169">
        <v>1</v>
      </c>
      <c r="H160" s="170">
        <f>9440*1.05</f>
        <v>9912</v>
      </c>
      <c r="I160" s="171">
        <f t="shared" si="24"/>
        <v>29736</v>
      </c>
      <c r="J160" s="172">
        <v>3</v>
      </c>
      <c r="K160" s="171">
        <f t="shared" si="26"/>
        <v>4073.4246575342468</v>
      </c>
      <c r="L160" s="177" t="s">
        <v>91</v>
      </c>
      <c r="M160" s="171">
        <f t="shared" si="25"/>
        <v>33809.42465753425</v>
      </c>
    </row>
    <row r="161" spans="1:13" s="1" customFormat="1" ht="15">
      <c r="A161" s="180" t="s">
        <v>210</v>
      </c>
      <c r="B161" s="177" t="s">
        <v>91</v>
      </c>
      <c r="C161" s="176"/>
      <c r="D161" s="169">
        <v>8</v>
      </c>
      <c r="E161" s="169" t="s">
        <v>45</v>
      </c>
      <c r="F161" s="169" t="s">
        <v>20</v>
      </c>
      <c r="G161" s="169">
        <v>1</v>
      </c>
      <c r="H161" s="170">
        <f>13841.7*1.05</f>
        <v>14533.785000000002</v>
      </c>
      <c r="I161" s="171">
        <f t="shared" si="24"/>
        <v>43601.355</v>
      </c>
      <c r="J161" s="172">
        <v>3</v>
      </c>
      <c r="K161" s="171">
        <f t="shared" si="26"/>
        <v>5972.788356164384</v>
      </c>
      <c r="L161" s="177" t="s">
        <v>91</v>
      </c>
      <c r="M161" s="171">
        <f t="shared" si="25"/>
        <v>49574.143356164386</v>
      </c>
    </row>
    <row r="162" spans="1:13" s="1" customFormat="1" ht="15">
      <c r="A162" s="180" t="s">
        <v>210</v>
      </c>
      <c r="B162" s="177" t="s">
        <v>91</v>
      </c>
      <c r="C162" s="176"/>
      <c r="D162" s="169">
        <v>8</v>
      </c>
      <c r="E162" s="169" t="s">
        <v>45</v>
      </c>
      <c r="F162" s="169" t="s">
        <v>20</v>
      </c>
      <c r="G162" s="169">
        <v>1</v>
      </c>
      <c r="H162" s="170">
        <f>13841.7*1.05</f>
        <v>14533.785000000002</v>
      </c>
      <c r="I162" s="171">
        <f t="shared" si="24"/>
        <v>29067.570000000003</v>
      </c>
      <c r="J162" s="172">
        <v>2</v>
      </c>
      <c r="K162" s="171">
        <f t="shared" si="26"/>
        <v>3981.8589041095897</v>
      </c>
      <c r="L162" s="177" t="s">
        <v>91</v>
      </c>
      <c r="M162" s="171">
        <f t="shared" si="25"/>
        <v>33049.42890410959</v>
      </c>
    </row>
    <row r="163" spans="1:13" s="1" customFormat="1" ht="15">
      <c r="A163" s="180" t="s">
        <v>244</v>
      </c>
      <c r="B163" s="177" t="s">
        <v>91</v>
      </c>
      <c r="C163" s="176"/>
      <c r="D163" s="169">
        <v>8</v>
      </c>
      <c r="E163" s="169" t="s">
        <v>45</v>
      </c>
      <c r="F163" s="169" t="s">
        <v>20</v>
      </c>
      <c r="G163" s="169">
        <v>1</v>
      </c>
      <c r="H163" s="170">
        <f>9440*1.05</f>
        <v>9912</v>
      </c>
      <c r="I163" s="171">
        <f t="shared" si="24"/>
        <v>19824</v>
      </c>
      <c r="J163" s="172">
        <v>2</v>
      </c>
      <c r="K163" s="171">
        <f t="shared" si="26"/>
        <v>2715.6164383561645</v>
      </c>
      <c r="L163" s="177" t="s">
        <v>91</v>
      </c>
      <c r="M163" s="171">
        <f t="shared" si="25"/>
        <v>22539.616438356163</v>
      </c>
    </row>
    <row r="164" spans="1:13" s="1" customFormat="1" ht="15">
      <c r="A164" s="180" t="s">
        <v>210</v>
      </c>
      <c r="B164" s="177" t="s">
        <v>91</v>
      </c>
      <c r="C164" s="176"/>
      <c r="D164" s="169">
        <v>8</v>
      </c>
      <c r="E164" s="169" t="s">
        <v>45</v>
      </c>
      <c r="F164" s="169" t="s">
        <v>20</v>
      </c>
      <c r="G164" s="169">
        <v>1</v>
      </c>
      <c r="H164" s="170">
        <f>13841.7*1.05</f>
        <v>14533.785000000002</v>
      </c>
      <c r="I164" s="171">
        <f t="shared" si="24"/>
        <v>58135.14000000001</v>
      </c>
      <c r="J164" s="172">
        <v>4</v>
      </c>
      <c r="K164" s="171">
        <f t="shared" si="26"/>
        <v>7963.7178082191795</v>
      </c>
      <c r="L164" s="177" t="s">
        <v>91</v>
      </c>
      <c r="M164" s="171">
        <f t="shared" si="25"/>
        <v>66098.85780821918</v>
      </c>
    </row>
    <row r="165" spans="1:13" s="1" customFormat="1" ht="15">
      <c r="A165" s="180" t="s">
        <v>244</v>
      </c>
      <c r="B165" s="177" t="s">
        <v>91</v>
      </c>
      <c r="C165" s="176"/>
      <c r="D165" s="169">
        <v>8</v>
      </c>
      <c r="E165" s="169" t="s">
        <v>45</v>
      </c>
      <c r="F165" s="169" t="s">
        <v>20</v>
      </c>
      <c r="G165" s="169">
        <v>1</v>
      </c>
      <c r="H165" s="170">
        <f>9440*1.05</f>
        <v>9912</v>
      </c>
      <c r="I165" s="171">
        <f t="shared" si="24"/>
        <v>39648</v>
      </c>
      <c r="J165" s="172">
        <v>4</v>
      </c>
      <c r="K165" s="171">
        <f t="shared" si="26"/>
        <v>5431.232876712329</v>
      </c>
      <c r="L165" s="177" t="s">
        <v>91</v>
      </c>
      <c r="M165" s="171">
        <f t="shared" si="25"/>
        <v>45079.232876712325</v>
      </c>
    </row>
    <row r="166" spans="1:13" s="1" customFormat="1" ht="15">
      <c r="A166" s="180" t="s">
        <v>210</v>
      </c>
      <c r="B166" s="177" t="s">
        <v>91</v>
      </c>
      <c r="C166" s="176"/>
      <c r="D166" s="169">
        <v>8</v>
      </c>
      <c r="E166" s="169" t="s">
        <v>45</v>
      </c>
      <c r="F166" s="169" t="s">
        <v>20</v>
      </c>
      <c r="G166" s="169">
        <v>1</v>
      </c>
      <c r="H166" s="170">
        <f>13841.7*1.05</f>
        <v>14533.785000000002</v>
      </c>
      <c r="I166" s="171">
        <f t="shared" si="24"/>
        <v>72668.925</v>
      </c>
      <c r="J166" s="172">
        <v>5</v>
      </c>
      <c r="K166" s="171">
        <f t="shared" si="26"/>
        <v>9954.647260273972</v>
      </c>
      <c r="L166" s="177" t="s">
        <v>91</v>
      </c>
      <c r="M166" s="171">
        <f t="shared" si="25"/>
        <v>82623.57226027397</v>
      </c>
    </row>
    <row r="167" spans="1:13" s="1" customFormat="1" ht="15">
      <c r="A167" s="180" t="s">
        <v>210</v>
      </c>
      <c r="B167" s="177" t="s">
        <v>91</v>
      </c>
      <c r="C167" s="176"/>
      <c r="D167" s="169">
        <v>8</v>
      </c>
      <c r="E167" s="169" t="s">
        <v>45</v>
      </c>
      <c r="F167" s="169" t="s">
        <v>20</v>
      </c>
      <c r="G167" s="169">
        <v>1</v>
      </c>
      <c r="H167" s="170">
        <f>13841.7*1.05</f>
        <v>14533.785000000002</v>
      </c>
      <c r="I167" s="171">
        <f t="shared" si="24"/>
        <v>72668.925</v>
      </c>
      <c r="J167" s="172">
        <v>5</v>
      </c>
      <c r="K167" s="171">
        <f t="shared" si="26"/>
        <v>9954.647260273972</v>
      </c>
      <c r="L167" s="177" t="s">
        <v>91</v>
      </c>
      <c r="M167" s="171">
        <f t="shared" si="25"/>
        <v>82623.57226027397</v>
      </c>
    </row>
    <row r="168" spans="1:13" s="1" customFormat="1" ht="15">
      <c r="A168" s="180" t="s">
        <v>244</v>
      </c>
      <c r="B168" s="177" t="s">
        <v>91</v>
      </c>
      <c r="C168" s="176"/>
      <c r="D168" s="169">
        <v>8</v>
      </c>
      <c r="E168" s="169" t="s">
        <v>45</v>
      </c>
      <c r="F168" s="169" t="s">
        <v>20</v>
      </c>
      <c r="G168" s="169">
        <v>1</v>
      </c>
      <c r="H168" s="170">
        <f>9440*1.05</f>
        <v>9912</v>
      </c>
      <c r="I168" s="171">
        <f t="shared" si="24"/>
        <v>49560</v>
      </c>
      <c r="J168" s="172">
        <v>5</v>
      </c>
      <c r="K168" s="171">
        <f t="shared" si="26"/>
        <v>6789.041095890411</v>
      </c>
      <c r="L168" s="177" t="s">
        <v>91</v>
      </c>
      <c r="M168" s="171">
        <f t="shared" si="25"/>
        <v>56349.04109589041</v>
      </c>
    </row>
    <row r="169" spans="1:13" s="1" customFormat="1" ht="15">
      <c r="A169" s="180" t="s">
        <v>210</v>
      </c>
      <c r="B169" s="177" t="s">
        <v>91</v>
      </c>
      <c r="C169" s="176"/>
      <c r="D169" s="169">
        <v>8</v>
      </c>
      <c r="E169" s="169" t="s">
        <v>45</v>
      </c>
      <c r="F169" s="169" t="s">
        <v>20</v>
      </c>
      <c r="G169" s="169">
        <v>1</v>
      </c>
      <c r="H169" s="170">
        <f>13841.7*1.05</f>
        <v>14533.785000000002</v>
      </c>
      <c r="I169" s="171">
        <f t="shared" si="24"/>
        <v>72668.925</v>
      </c>
      <c r="J169" s="172">
        <v>5</v>
      </c>
      <c r="K169" s="171">
        <f t="shared" si="26"/>
        <v>9954.647260273972</v>
      </c>
      <c r="L169" s="177" t="s">
        <v>91</v>
      </c>
      <c r="M169" s="171">
        <f t="shared" si="25"/>
        <v>82623.57226027397</v>
      </c>
    </row>
    <row r="170" spans="1:13" s="1" customFormat="1" ht="15">
      <c r="A170" s="180" t="s">
        <v>210</v>
      </c>
      <c r="B170" s="177" t="s">
        <v>91</v>
      </c>
      <c r="C170" s="176"/>
      <c r="D170" s="169">
        <v>8</v>
      </c>
      <c r="E170" s="169" t="s">
        <v>45</v>
      </c>
      <c r="F170" s="169" t="s">
        <v>20</v>
      </c>
      <c r="G170" s="169">
        <v>1</v>
      </c>
      <c r="H170" s="170">
        <f>13841.7*1.05</f>
        <v>14533.785000000002</v>
      </c>
      <c r="I170" s="171">
        <f t="shared" si="24"/>
        <v>87202.71</v>
      </c>
      <c r="J170" s="172">
        <v>6</v>
      </c>
      <c r="K170" s="171">
        <f t="shared" si="26"/>
        <v>11945.576712328768</v>
      </c>
      <c r="L170" s="177" t="s">
        <v>91</v>
      </c>
      <c r="M170" s="171">
        <f t="shared" si="25"/>
        <v>99148.28671232877</v>
      </c>
    </row>
    <row r="171" spans="1:13" s="1" customFormat="1" ht="15">
      <c r="A171" s="180" t="s">
        <v>210</v>
      </c>
      <c r="B171" s="177" t="s">
        <v>91</v>
      </c>
      <c r="C171" s="176"/>
      <c r="D171" s="169">
        <v>8</v>
      </c>
      <c r="E171" s="169" t="s">
        <v>45</v>
      </c>
      <c r="F171" s="169" t="s">
        <v>20</v>
      </c>
      <c r="G171" s="169">
        <v>1</v>
      </c>
      <c r="H171" s="170">
        <f>13841.7*1.05</f>
        <v>14533.785000000002</v>
      </c>
      <c r="I171" s="171">
        <f aca="true" t="shared" si="27" ref="I171:I195">+H171*J171</f>
        <v>87202.71</v>
      </c>
      <c r="J171" s="172">
        <v>6</v>
      </c>
      <c r="K171" s="171">
        <f t="shared" si="26"/>
        <v>11945.576712328768</v>
      </c>
      <c r="L171" s="177" t="s">
        <v>91</v>
      </c>
      <c r="M171" s="171">
        <f t="shared" si="25"/>
        <v>99148.28671232877</v>
      </c>
    </row>
    <row r="172" spans="1:13" s="1" customFormat="1" ht="15">
      <c r="A172" s="180" t="s">
        <v>210</v>
      </c>
      <c r="B172" s="177" t="s">
        <v>91</v>
      </c>
      <c r="C172" s="176"/>
      <c r="D172" s="169">
        <v>8</v>
      </c>
      <c r="E172" s="169" t="s">
        <v>45</v>
      </c>
      <c r="F172" s="169" t="s">
        <v>20</v>
      </c>
      <c r="G172" s="169">
        <v>1</v>
      </c>
      <c r="H172" s="170">
        <f>13841.7*1.05</f>
        <v>14533.785000000002</v>
      </c>
      <c r="I172" s="171">
        <f t="shared" si="27"/>
        <v>87202.71</v>
      </c>
      <c r="J172" s="172">
        <v>6</v>
      </c>
      <c r="K172" s="171">
        <f t="shared" si="26"/>
        <v>11945.576712328768</v>
      </c>
      <c r="L172" s="177" t="s">
        <v>91</v>
      </c>
      <c r="M172" s="171">
        <f t="shared" si="25"/>
        <v>99148.28671232877</v>
      </c>
    </row>
    <row r="173" spans="1:13" s="1" customFormat="1" ht="15">
      <c r="A173" s="180" t="s">
        <v>244</v>
      </c>
      <c r="B173" s="177" t="s">
        <v>91</v>
      </c>
      <c r="C173" s="181"/>
      <c r="D173" s="169">
        <v>8</v>
      </c>
      <c r="E173" s="169" t="s">
        <v>45</v>
      </c>
      <c r="F173" s="169" t="s">
        <v>20</v>
      </c>
      <c r="G173" s="169">
        <v>1</v>
      </c>
      <c r="H173" s="170">
        <f>9440*1.05</f>
        <v>9912</v>
      </c>
      <c r="I173" s="171">
        <f t="shared" si="27"/>
        <v>59472</v>
      </c>
      <c r="J173" s="172">
        <v>6</v>
      </c>
      <c r="K173" s="171">
        <f t="shared" si="26"/>
        <v>8146.8493150684935</v>
      </c>
      <c r="L173" s="177" t="s">
        <v>91</v>
      </c>
      <c r="M173" s="171">
        <f t="shared" si="25"/>
        <v>67618.8493150685</v>
      </c>
    </row>
    <row r="174" spans="1:13" s="1" customFormat="1" ht="15">
      <c r="A174" s="180" t="s">
        <v>210</v>
      </c>
      <c r="B174" s="177" t="s">
        <v>91</v>
      </c>
      <c r="C174" s="176"/>
      <c r="D174" s="169">
        <v>8</v>
      </c>
      <c r="E174" s="169" t="s">
        <v>45</v>
      </c>
      <c r="F174" s="169" t="s">
        <v>20</v>
      </c>
      <c r="G174" s="169">
        <v>1</v>
      </c>
      <c r="H174" s="170">
        <f>13841.7*1.05</f>
        <v>14533.785000000002</v>
      </c>
      <c r="I174" s="171">
        <f t="shared" si="27"/>
        <v>87202.71</v>
      </c>
      <c r="J174" s="172">
        <v>6</v>
      </c>
      <c r="K174" s="171">
        <f t="shared" si="26"/>
        <v>11945.576712328768</v>
      </c>
      <c r="L174" s="177" t="s">
        <v>91</v>
      </c>
      <c r="M174" s="171">
        <f t="shared" si="25"/>
        <v>99148.28671232877</v>
      </c>
    </row>
    <row r="175" spans="1:13" s="1" customFormat="1" ht="15">
      <c r="A175" s="182" t="s">
        <v>244</v>
      </c>
      <c r="B175" s="177" t="s">
        <v>91</v>
      </c>
      <c r="C175" s="176"/>
      <c r="D175" s="169">
        <v>8</v>
      </c>
      <c r="E175" s="169" t="s">
        <v>45</v>
      </c>
      <c r="F175" s="169" t="s">
        <v>20</v>
      </c>
      <c r="G175" s="169">
        <v>1</v>
      </c>
      <c r="H175" s="170">
        <f>9440*1.05</f>
        <v>9912</v>
      </c>
      <c r="I175" s="171">
        <f t="shared" si="27"/>
        <v>69384</v>
      </c>
      <c r="J175" s="172">
        <v>7</v>
      </c>
      <c r="K175" s="171">
        <f t="shared" si="26"/>
        <v>9504.657534246577</v>
      </c>
      <c r="L175" s="177" t="s">
        <v>91</v>
      </c>
      <c r="M175" s="171">
        <f t="shared" si="25"/>
        <v>78888.65753424658</v>
      </c>
    </row>
    <row r="176" spans="1:13" s="1" customFormat="1" ht="15">
      <c r="A176" s="183" t="s">
        <v>210</v>
      </c>
      <c r="B176" s="184" t="s">
        <v>91</v>
      </c>
      <c r="C176" s="185"/>
      <c r="D176" s="169">
        <v>8</v>
      </c>
      <c r="E176" s="169" t="s">
        <v>45</v>
      </c>
      <c r="F176" s="169" t="s">
        <v>20</v>
      </c>
      <c r="G176" s="169">
        <v>1</v>
      </c>
      <c r="H176" s="170">
        <f>13841.7*1.05</f>
        <v>14533.785000000002</v>
      </c>
      <c r="I176" s="171">
        <f t="shared" si="27"/>
        <v>72668.925</v>
      </c>
      <c r="J176" s="172">
        <v>5</v>
      </c>
      <c r="K176" s="171">
        <f t="shared" si="26"/>
        <v>9954.647260273972</v>
      </c>
      <c r="L176" s="184" t="s">
        <v>91</v>
      </c>
      <c r="M176" s="171">
        <f t="shared" si="25"/>
        <v>82623.57226027397</v>
      </c>
    </row>
    <row r="177" spans="1:13" s="1" customFormat="1" ht="15">
      <c r="A177" s="183" t="s">
        <v>244</v>
      </c>
      <c r="B177" s="184" t="s">
        <v>91</v>
      </c>
      <c r="C177" s="185"/>
      <c r="D177" s="169">
        <v>8</v>
      </c>
      <c r="E177" s="169" t="s">
        <v>45</v>
      </c>
      <c r="F177" s="169" t="s">
        <v>20</v>
      </c>
      <c r="G177" s="169">
        <v>1</v>
      </c>
      <c r="H177" s="170">
        <f>9440*1.05</f>
        <v>9912</v>
      </c>
      <c r="I177" s="171">
        <f t="shared" si="27"/>
        <v>69384</v>
      </c>
      <c r="J177" s="172">
        <v>7</v>
      </c>
      <c r="K177" s="171">
        <f aca="true" t="shared" si="28" ref="K177:K195">+I177/365*50</f>
        <v>9504.657534246577</v>
      </c>
      <c r="L177" s="184" t="s">
        <v>91</v>
      </c>
      <c r="M177" s="171">
        <f t="shared" si="25"/>
        <v>78888.65753424658</v>
      </c>
    </row>
    <row r="178" spans="1:13" s="1" customFormat="1" ht="15">
      <c r="A178" s="183" t="s">
        <v>210</v>
      </c>
      <c r="B178" s="184" t="s">
        <v>91</v>
      </c>
      <c r="C178" s="185"/>
      <c r="D178" s="169">
        <v>8</v>
      </c>
      <c r="E178" s="169" t="s">
        <v>45</v>
      </c>
      <c r="F178" s="169" t="s">
        <v>20</v>
      </c>
      <c r="G178" s="169">
        <v>1</v>
      </c>
      <c r="H178" s="170">
        <f>13841.7*1.05</f>
        <v>14533.785000000002</v>
      </c>
      <c r="I178" s="171">
        <f t="shared" si="27"/>
        <v>101736.49500000001</v>
      </c>
      <c r="J178" s="172">
        <v>7</v>
      </c>
      <c r="K178" s="171">
        <f t="shared" si="28"/>
        <v>13936.506164383562</v>
      </c>
      <c r="L178" s="184" t="s">
        <v>91</v>
      </c>
      <c r="M178" s="171">
        <f t="shared" si="25"/>
        <v>115673.00116438358</v>
      </c>
    </row>
    <row r="179" spans="1:13" s="1" customFormat="1" ht="15">
      <c r="A179" s="183" t="s">
        <v>210</v>
      </c>
      <c r="B179" s="184" t="s">
        <v>91</v>
      </c>
      <c r="C179" s="185"/>
      <c r="D179" s="169">
        <v>8</v>
      </c>
      <c r="E179" s="169" t="s">
        <v>45</v>
      </c>
      <c r="F179" s="169" t="s">
        <v>20</v>
      </c>
      <c r="G179" s="169">
        <v>1</v>
      </c>
      <c r="H179" s="170">
        <f>13841.7*1.05</f>
        <v>14533.785000000002</v>
      </c>
      <c r="I179" s="171">
        <f t="shared" si="27"/>
        <v>116270.28000000001</v>
      </c>
      <c r="J179" s="172">
        <v>8</v>
      </c>
      <c r="K179" s="171">
        <f t="shared" si="28"/>
        <v>15927.435616438359</v>
      </c>
      <c r="L179" s="184" t="s">
        <v>91</v>
      </c>
      <c r="M179" s="171">
        <f t="shared" si="25"/>
        <v>132197.71561643836</v>
      </c>
    </row>
    <row r="180" spans="1:13" s="1" customFormat="1" ht="15">
      <c r="A180" s="183" t="s">
        <v>210</v>
      </c>
      <c r="B180" s="184" t="s">
        <v>91</v>
      </c>
      <c r="C180" s="185"/>
      <c r="D180" s="169">
        <v>8</v>
      </c>
      <c r="E180" s="169" t="s">
        <v>45</v>
      </c>
      <c r="F180" s="169" t="s">
        <v>20</v>
      </c>
      <c r="G180" s="169">
        <v>1</v>
      </c>
      <c r="H180" s="170">
        <f>13841.7*1.05</f>
        <v>14533.785000000002</v>
      </c>
      <c r="I180" s="171">
        <f t="shared" si="27"/>
        <v>87202.71</v>
      </c>
      <c r="J180" s="172">
        <v>6</v>
      </c>
      <c r="K180" s="171">
        <f t="shared" si="28"/>
        <v>11945.576712328768</v>
      </c>
      <c r="L180" s="184" t="s">
        <v>91</v>
      </c>
      <c r="M180" s="171">
        <f t="shared" si="25"/>
        <v>99148.28671232877</v>
      </c>
    </row>
    <row r="181" spans="1:13" s="1" customFormat="1" ht="15">
      <c r="A181" s="167" t="s">
        <v>166</v>
      </c>
      <c r="B181" s="168"/>
      <c r="C181" s="167"/>
      <c r="D181" s="169">
        <v>8</v>
      </c>
      <c r="E181" s="169" t="s">
        <v>45</v>
      </c>
      <c r="F181" s="169" t="s">
        <v>20</v>
      </c>
      <c r="G181" s="169">
        <v>0</v>
      </c>
      <c r="H181" s="170">
        <v>7577.75</v>
      </c>
      <c r="I181" s="171">
        <f t="shared" si="27"/>
        <v>45466.5</v>
      </c>
      <c r="J181" s="172">
        <v>6</v>
      </c>
      <c r="K181" s="171">
        <f t="shared" si="28"/>
        <v>6228.287671232876</v>
      </c>
      <c r="L181" s="173"/>
      <c r="M181" s="171">
        <f t="shared" si="25"/>
        <v>51694.78767123287</v>
      </c>
    </row>
    <row r="182" spans="1:13" s="1" customFormat="1" ht="15">
      <c r="A182" s="167" t="s">
        <v>166</v>
      </c>
      <c r="B182" s="168"/>
      <c r="C182" s="167"/>
      <c r="D182" s="169">
        <v>8</v>
      </c>
      <c r="E182" s="169" t="s">
        <v>45</v>
      </c>
      <c r="F182" s="169" t="s">
        <v>20</v>
      </c>
      <c r="G182" s="169">
        <v>1</v>
      </c>
      <c r="H182" s="170">
        <v>15215.2</v>
      </c>
      <c r="I182" s="171">
        <f t="shared" si="27"/>
        <v>76076</v>
      </c>
      <c r="J182" s="172">
        <v>5</v>
      </c>
      <c r="K182" s="171">
        <f t="shared" si="28"/>
        <v>10421.369863013699</v>
      </c>
      <c r="L182" s="173"/>
      <c r="M182" s="171">
        <f t="shared" si="25"/>
        <v>86497.3698630137</v>
      </c>
    </row>
    <row r="183" spans="1:14" s="1" customFormat="1" ht="15">
      <c r="A183" s="167" t="s">
        <v>83</v>
      </c>
      <c r="B183" s="168"/>
      <c r="C183" s="167"/>
      <c r="D183" s="169">
        <v>8</v>
      </c>
      <c r="E183" s="169" t="s">
        <v>45</v>
      </c>
      <c r="F183" s="169" t="s">
        <v>20</v>
      </c>
      <c r="G183" s="169">
        <v>1</v>
      </c>
      <c r="H183" s="170">
        <f>10426.98*1.05</f>
        <v>10948.329</v>
      </c>
      <c r="I183" s="171">
        <f t="shared" si="27"/>
        <v>131379.948</v>
      </c>
      <c r="J183" s="172">
        <v>12</v>
      </c>
      <c r="K183" s="171">
        <f t="shared" si="28"/>
        <v>17997.253150684934</v>
      </c>
      <c r="L183" s="173"/>
      <c r="M183" s="171">
        <f t="shared" si="25"/>
        <v>149377.20115068494</v>
      </c>
      <c r="N183" s="1" t="s">
        <v>91</v>
      </c>
    </row>
    <row r="184" spans="1:13" s="1" customFormat="1" ht="15">
      <c r="A184" s="167" t="s">
        <v>83</v>
      </c>
      <c r="B184" s="168"/>
      <c r="C184" s="167"/>
      <c r="D184" s="169">
        <v>8</v>
      </c>
      <c r="E184" s="169" t="s">
        <v>45</v>
      </c>
      <c r="F184" s="169" t="s">
        <v>20</v>
      </c>
      <c r="G184" s="169">
        <v>1</v>
      </c>
      <c r="H184" s="170">
        <f>10426.98*1.05</f>
        <v>10948.329</v>
      </c>
      <c r="I184" s="171">
        <f t="shared" si="27"/>
        <v>131379.948</v>
      </c>
      <c r="J184" s="172">
        <v>12</v>
      </c>
      <c r="K184" s="171">
        <f t="shared" si="28"/>
        <v>17997.253150684934</v>
      </c>
      <c r="L184" s="173"/>
      <c r="M184" s="171">
        <f t="shared" si="25"/>
        <v>149377.20115068494</v>
      </c>
    </row>
    <row r="185" spans="1:13" s="1" customFormat="1" ht="15">
      <c r="A185" s="167" t="s">
        <v>83</v>
      </c>
      <c r="B185" s="168"/>
      <c r="C185" s="167"/>
      <c r="D185" s="169">
        <v>8</v>
      </c>
      <c r="E185" s="169" t="s">
        <v>45</v>
      </c>
      <c r="F185" s="169" t="s">
        <v>20</v>
      </c>
      <c r="G185" s="169">
        <v>1</v>
      </c>
      <c r="H185" s="170">
        <f>10426.98*1.05</f>
        <v>10948.329</v>
      </c>
      <c r="I185" s="171">
        <f t="shared" si="27"/>
        <v>131379.948</v>
      </c>
      <c r="J185" s="172">
        <v>12</v>
      </c>
      <c r="K185" s="171">
        <f t="shared" si="28"/>
        <v>17997.253150684934</v>
      </c>
      <c r="L185" s="173"/>
      <c r="M185" s="171">
        <f t="shared" si="25"/>
        <v>149377.20115068494</v>
      </c>
    </row>
    <row r="186" spans="1:13" ht="15">
      <c r="A186" s="167" t="s">
        <v>151</v>
      </c>
      <c r="B186" s="168" t="s">
        <v>167</v>
      </c>
      <c r="C186" s="167"/>
      <c r="D186" s="169">
        <v>8</v>
      </c>
      <c r="E186" s="169" t="s">
        <v>45</v>
      </c>
      <c r="F186" s="169" t="s">
        <v>20</v>
      </c>
      <c r="G186" s="169">
        <v>1</v>
      </c>
      <c r="H186" s="170">
        <v>6223.2</v>
      </c>
      <c r="I186" s="171">
        <f t="shared" si="27"/>
        <v>74678.4</v>
      </c>
      <c r="J186" s="172">
        <v>12</v>
      </c>
      <c r="K186" s="171">
        <f t="shared" si="28"/>
        <v>10229.917808219177</v>
      </c>
      <c r="L186" s="173"/>
      <c r="M186" s="171">
        <f t="shared" si="25"/>
        <v>84908.31780821917</v>
      </c>
    </row>
    <row r="187" spans="1:13" s="1" customFormat="1" ht="15">
      <c r="A187" s="167" t="s">
        <v>151</v>
      </c>
      <c r="B187" s="168" t="s">
        <v>167</v>
      </c>
      <c r="C187" s="167"/>
      <c r="D187" s="169">
        <v>8</v>
      </c>
      <c r="E187" s="169" t="s">
        <v>45</v>
      </c>
      <c r="F187" s="169" t="s">
        <v>20</v>
      </c>
      <c r="G187" s="169">
        <v>1</v>
      </c>
      <c r="H187" s="170">
        <v>6223.2</v>
      </c>
      <c r="I187" s="171">
        <f t="shared" si="27"/>
        <v>74678.4</v>
      </c>
      <c r="J187" s="172">
        <v>12</v>
      </c>
      <c r="K187" s="171">
        <f t="shared" si="28"/>
        <v>10229.917808219177</v>
      </c>
      <c r="L187" s="173"/>
      <c r="M187" s="171">
        <f aca="true" t="shared" si="29" ref="M187:M195">+I187+K187</f>
        <v>84908.31780821917</v>
      </c>
    </row>
    <row r="188" spans="1:13" s="1" customFormat="1" ht="15">
      <c r="A188" s="167" t="s">
        <v>151</v>
      </c>
      <c r="B188" s="168" t="s">
        <v>167</v>
      </c>
      <c r="C188" s="167"/>
      <c r="D188" s="169">
        <v>8</v>
      </c>
      <c r="E188" s="169" t="s">
        <v>45</v>
      </c>
      <c r="F188" s="169" t="s">
        <v>20</v>
      </c>
      <c r="G188" s="169">
        <v>1</v>
      </c>
      <c r="H188" s="170">
        <v>6223.2</v>
      </c>
      <c r="I188" s="171">
        <f t="shared" si="27"/>
        <v>74678.4</v>
      </c>
      <c r="J188" s="172">
        <v>12</v>
      </c>
      <c r="K188" s="171">
        <f t="shared" si="28"/>
        <v>10229.917808219177</v>
      </c>
      <c r="L188" s="173"/>
      <c r="M188" s="171">
        <f t="shared" si="29"/>
        <v>84908.31780821917</v>
      </c>
    </row>
    <row r="189" spans="1:13" ht="15">
      <c r="A189" s="167" t="s">
        <v>151</v>
      </c>
      <c r="B189" s="168" t="s">
        <v>167</v>
      </c>
      <c r="C189" s="167"/>
      <c r="D189" s="169">
        <v>8</v>
      </c>
      <c r="E189" s="169" t="s">
        <v>45</v>
      </c>
      <c r="F189" s="169" t="s">
        <v>20</v>
      </c>
      <c r="G189" s="169">
        <v>1</v>
      </c>
      <c r="H189" s="170">
        <v>6223.2</v>
      </c>
      <c r="I189" s="171">
        <f t="shared" si="27"/>
        <v>74678.4</v>
      </c>
      <c r="J189" s="172">
        <v>12</v>
      </c>
      <c r="K189" s="171">
        <f t="shared" si="28"/>
        <v>10229.917808219177</v>
      </c>
      <c r="L189" s="173"/>
      <c r="M189" s="171">
        <f t="shared" si="29"/>
        <v>84908.31780821917</v>
      </c>
    </row>
    <row r="190" spans="1:13" s="1" customFormat="1" ht="15">
      <c r="A190" s="167" t="s">
        <v>151</v>
      </c>
      <c r="B190" s="168" t="s">
        <v>167</v>
      </c>
      <c r="C190" s="167"/>
      <c r="D190" s="169">
        <v>8</v>
      </c>
      <c r="E190" s="169" t="s">
        <v>45</v>
      </c>
      <c r="F190" s="169" t="s">
        <v>20</v>
      </c>
      <c r="G190" s="169">
        <v>1</v>
      </c>
      <c r="H190" s="170">
        <v>6223.2</v>
      </c>
      <c r="I190" s="171">
        <f t="shared" si="27"/>
        <v>74678.4</v>
      </c>
      <c r="J190" s="172">
        <v>12</v>
      </c>
      <c r="K190" s="171">
        <f t="shared" si="28"/>
        <v>10229.917808219177</v>
      </c>
      <c r="L190" s="173"/>
      <c r="M190" s="171">
        <f t="shared" si="29"/>
        <v>84908.31780821917</v>
      </c>
    </row>
    <row r="191" spans="1:13" s="1" customFormat="1" ht="15">
      <c r="A191" s="167" t="s">
        <v>151</v>
      </c>
      <c r="B191" s="168" t="s">
        <v>167</v>
      </c>
      <c r="C191" s="167"/>
      <c r="D191" s="169">
        <v>8</v>
      </c>
      <c r="E191" s="169" t="s">
        <v>45</v>
      </c>
      <c r="F191" s="169" t="s">
        <v>20</v>
      </c>
      <c r="G191" s="169">
        <v>1</v>
      </c>
      <c r="H191" s="170">
        <v>6223.2</v>
      </c>
      <c r="I191" s="171">
        <f t="shared" si="27"/>
        <v>37339.2</v>
      </c>
      <c r="J191" s="172">
        <v>6</v>
      </c>
      <c r="K191" s="171">
        <f t="shared" si="28"/>
        <v>5114.958904109589</v>
      </c>
      <c r="L191" s="173"/>
      <c r="M191" s="171">
        <f>+I191+K191</f>
        <v>42454.15890410959</v>
      </c>
    </row>
    <row r="192" spans="1:13" s="1" customFormat="1" ht="15">
      <c r="A192" s="167" t="s">
        <v>151</v>
      </c>
      <c r="B192" s="168" t="s">
        <v>167</v>
      </c>
      <c r="C192" s="167"/>
      <c r="D192" s="169">
        <v>8</v>
      </c>
      <c r="E192" s="169" t="s">
        <v>45</v>
      </c>
      <c r="F192" s="169" t="s">
        <v>20</v>
      </c>
      <c r="G192" s="169">
        <v>1</v>
      </c>
      <c r="H192" s="170">
        <v>6223.2</v>
      </c>
      <c r="I192" s="171">
        <f t="shared" si="27"/>
        <v>37339.2</v>
      </c>
      <c r="J192" s="172">
        <v>6</v>
      </c>
      <c r="K192" s="171">
        <f t="shared" si="28"/>
        <v>5114.958904109589</v>
      </c>
      <c r="L192" s="173"/>
      <c r="M192" s="171">
        <f t="shared" si="29"/>
        <v>42454.15890410959</v>
      </c>
    </row>
    <row r="193" spans="1:13" ht="15">
      <c r="A193" s="167" t="s">
        <v>151</v>
      </c>
      <c r="B193" s="168" t="s">
        <v>167</v>
      </c>
      <c r="C193" s="167"/>
      <c r="D193" s="169">
        <v>8</v>
      </c>
      <c r="E193" s="169" t="s">
        <v>45</v>
      </c>
      <c r="F193" s="169" t="s">
        <v>20</v>
      </c>
      <c r="G193" s="169">
        <v>1</v>
      </c>
      <c r="H193" s="170">
        <v>6223.2</v>
      </c>
      <c r="I193" s="171">
        <f t="shared" si="27"/>
        <v>49785.6</v>
      </c>
      <c r="J193" s="172">
        <v>8</v>
      </c>
      <c r="K193" s="171">
        <f t="shared" si="28"/>
        <v>6819.945205479452</v>
      </c>
      <c r="L193" s="173"/>
      <c r="M193" s="171">
        <f>+I193+K193</f>
        <v>56605.54520547945</v>
      </c>
    </row>
    <row r="194" spans="1:13" ht="15">
      <c r="A194" s="167" t="s">
        <v>151</v>
      </c>
      <c r="B194" s="168" t="s">
        <v>167</v>
      </c>
      <c r="C194" s="167"/>
      <c r="D194" s="169">
        <v>8</v>
      </c>
      <c r="E194" s="169" t="s">
        <v>45</v>
      </c>
      <c r="F194" s="169" t="s">
        <v>20</v>
      </c>
      <c r="G194" s="169">
        <v>1</v>
      </c>
      <c r="H194" s="170">
        <v>6223.2</v>
      </c>
      <c r="I194" s="171">
        <f t="shared" si="27"/>
        <v>24892.8</v>
      </c>
      <c r="J194" s="172">
        <v>4</v>
      </c>
      <c r="K194" s="171">
        <f t="shared" si="28"/>
        <v>3409.972602739726</v>
      </c>
      <c r="L194" s="173"/>
      <c r="M194" s="171">
        <f t="shared" si="29"/>
        <v>28302.772602739726</v>
      </c>
    </row>
    <row r="195" spans="1:13" s="1" customFormat="1" ht="15">
      <c r="A195" s="172" t="s">
        <v>150</v>
      </c>
      <c r="B195" s="172" t="s">
        <v>232</v>
      </c>
      <c r="C195" s="174"/>
      <c r="D195" s="169">
        <v>40</v>
      </c>
      <c r="E195" s="169" t="s">
        <v>19</v>
      </c>
      <c r="F195" s="169" t="s">
        <v>20</v>
      </c>
      <c r="G195" s="169">
        <v>1</v>
      </c>
      <c r="H195" s="170">
        <f>13818.99*1.05</f>
        <v>14509.9395</v>
      </c>
      <c r="I195" s="171">
        <f t="shared" si="27"/>
        <v>174119.274</v>
      </c>
      <c r="J195" s="175">
        <v>12</v>
      </c>
      <c r="K195" s="171">
        <f t="shared" si="28"/>
        <v>23851.955342465753</v>
      </c>
      <c r="L195" s="171"/>
      <c r="M195" s="171">
        <f t="shared" si="29"/>
        <v>197971.22934246575</v>
      </c>
    </row>
    <row r="196" spans="1:13" ht="15.75" thickBot="1">
      <c r="A196" s="95"/>
      <c r="B196" s="142"/>
      <c r="C196" s="142"/>
      <c r="D196" s="143" t="s">
        <v>43</v>
      </c>
      <c r="E196" s="143"/>
      <c r="F196" s="143"/>
      <c r="G196" s="143">
        <f>SUM(G27:G195)</f>
        <v>168</v>
      </c>
      <c r="H196" s="144">
        <f>SUM(H27:H195)</f>
        <v>2432047.203</v>
      </c>
      <c r="I196" s="144">
        <f>SUM(I27:I195)</f>
        <v>24373531.82850001</v>
      </c>
      <c r="J196" s="145"/>
      <c r="K196" s="144">
        <f>SUM(K27:K195)</f>
        <v>3338839.9765068544</v>
      </c>
      <c r="L196" s="146"/>
      <c r="M196" s="144">
        <f>SUM(M27:M195)</f>
        <v>27712371.80500686</v>
      </c>
    </row>
    <row r="197" spans="1:13" ht="15.75" thickBot="1">
      <c r="A197" s="39"/>
      <c r="B197" s="40"/>
      <c r="C197" s="40"/>
      <c r="D197" s="8" t="s">
        <v>47</v>
      </c>
      <c r="E197" s="8"/>
      <c r="F197" s="8"/>
      <c r="G197" s="78">
        <f>G196+G25</f>
        <v>187</v>
      </c>
      <c r="H197" s="10">
        <f>+H25+H196</f>
        <v>2795587.481</v>
      </c>
      <c r="I197" s="10">
        <f>+I25+I196</f>
        <v>28590656.84450001</v>
      </c>
      <c r="J197" s="11"/>
      <c r="K197" s="10">
        <f>+K25+K196</f>
        <v>3916528.3348630187</v>
      </c>
      <c r="L197" s="77"/>
      <c r="M197" s="10">
        <f>+M25+M196</f>
        <v>32507185.179363023</v>
      </c>
    </row>
  </sheetData>
  <sheetProtection/>
  <autoFilter ref="A27:N197"/>
  <mergeCells count="3">
    <mergeCell ref="A1:M1"/>
    <mergeCell ref="A2:M2"/>
    <mergeCell ref="A5:M5"/>
  </mergeCells>
  <printOptions/>
  <pageMargins left="0.7" right="0.7" top="0.75" bottom="0.75" header="0.3" footer="0.3"/>
  <pageSetup fitToHeight="0" fitToWidth="1" horizontalDpi="600" verticalDpi="600" orientation="landscape" paperSize="190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Transparencia</cp:lastModifiedBy>
  <cp:lastPrinted>2024-06-06T19:20:56Z</cp:lastPrinted>
  <dcterms:created xsi:type="dcterms:W3CDTF">2013-09-24T17:23:29Z</dcterms:created>
  <dcterms:modified xsi:type="dcterms:W3CDTF">2024-06-25T19:52:53Z</dcterms:modified>
  <cp:category/>
  <cp:version/>
  <cp:contentType/>
  <cp:contentStatus/>
</cp:coreProperties>
</file>